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m87+uEltF+J3Tf0t/HKon7BeGmrTKJU76QNe2YRNdBMBj+BFTtt4ij8/9tBpIc+it7zRFwdx4fvImAbxjaZbsw==" workbookSaltValue="zLLIKa7EywNELDyS+WlV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S19" i="8" l="1"/>
  <c r="AB13" i="21"/>
  <c r="BG10" i="8"/>
  <c r="B9" i="6"/>
  <c r="R8" i="9"/>
  <c r="T9" i="11" s="1"/>
  <c r="AL16" i="11"/>
  <c r="C16" i="6"/>
  <c r="BE9" i="13"/>
  <c r="X12" i="21"/>
  <c r="BH11" i="16"/>
  <c r="BM16" i="11"/>
  <c r="BF10" i="11"/>
  <c r="BM12" i="11"/>
  <c r="BJ12" i="11"/>
  <c r="BK17" i="11"/>
  <c r="BU11" i="17"/>
  <c r="BW12" i="20"/>
  <c r="BW10" i="20"/>
  <c r="AZ12" i="11"/>
  <c r="BH10" i="11"/>
  <c r="BH10" i="16"/>
  <c r="BH16" i="11"/>
  <c r="S15" i="17"/>
  <c r="L12" i="2"/>
  <c r="X15" i="16"/>
  <c r="X18" i="16" s="1"/>
  <c r="V9" i="16"/>
  <c r="BL9" i="11"/>
  <c r="P17" i="17"/>
  <c r="BK9" i="11"/>
  <c r="BK11" i="11"/>
  <c r="AP10" i="21"/>
  <c r="BH9" i="11"/>
  <c r="BJ15" i="11"/>
  <c r="AP15" i="20"/>
  <c r="R17" i="20"/>
  <c r="R18" i="20" s="1"/>
  <c r="AZ9" i="11"/>
  <c r="AZ13" i="11" s="1"/>
  <c r="AZ15" i="11"/>
  <c r="AZ18" i="11" s="1"/>
  <c r="BV17" i="16"/>
  <c r="BV12" i="16"/>
  <c r="BV11" i="16"/>
  <c r="U10" i="17"/>
  <c r="V12" i="16"/>
  <c r="BV9" i="16"/>
  <c r="AA17" i="16"/>
  <c r="T16" i="11"/>
  <c r="Q17" i="17"/>
  <c r="BI9" i="11"/>
  <c r="S10" i="17"/>
  <c r="Q15" i="17"/>
  <c r="BF15" i="11"/>
  <c r="AQ12" i="21"/>
  <c r="BL16" i="11"/>
  <c r="L10" i="2"/>
  <c r="L15" i="2"/>
  <c r="L16" i="2"/>
  <c r="X10" i="21"/>
  <c r="U9" i="17"/>
  <c r="U19" i="17" s="1"/>
  <c r="L9" i="2"/>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9" i="11"/>
  <c r="X11" i="17"/>
  <c r="BK12" i="11"/>
  <c r="BG10" i="11"/>
  <c r="BF11" i="11"/>
  <c r="V10" i="16"/>
  <c r="L17" i="2"/>
  <c r="S16" i="17"/>
  <c r="BJ16" i="11"/>
  <c r="BJ18" i="11" s="1"/>
  <c r="BM17" i="11"/>
  <c r="AQ10" i="21"/>
  <c r="BG12" i="11"/>
  <c r="BU16" i="17"/>
  <c r="BW11" i="20"/>
  <c r="BU10" i="17"/>
  <c r="AP17" i="20"/>
  <c r="BG15" i="11"/>
  <c r="BI15" i="11"/>
  <c r="V11" i="11"/>
  <c r="BL17" i="11"/>
  <c r="BH17" i="16"/>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<sst xmlns="http://schemas.openxmlformats.org/spreadsheetml/2006/main" count="2102" uniqueCount="918">
  <si>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</si>
  <si>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</si>
  <si>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</si>
  <si>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</si>
  <si>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</si>
  <si>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</si>
  <si>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</si>
  <si>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</si>
  <si>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</si>
  <si>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</si>
  <si>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</si>
  <si>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</si>
  <si>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</si>
  <si>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</si>
  <si>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</si>
  <si>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</si>
  <si>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</si>
  <si>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</si>
  <si>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</si>
  <si>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</si>
  <si>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</si>
  <si>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</si>
  <si>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</si>
  <si>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</si>
  <si>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</si>
  <si>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</si>
  <si>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</si>
  <si>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</si>
  <si>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</si>
  <si>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</si>
  <si>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</si>
  <si>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</si>
  <si>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</si>
  <si>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</si>
  <si>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</si>
  <si>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</si>
  <si>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</si>
  <si>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</si>
  <si>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</si>
  <si>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</si>
  <si>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</si>
  <si>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</si>
  <si>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</si>
  <si>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</si>
  <si>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</si>
  <si>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</si>
  <si>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</si>
  <si>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</si>
  <si>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</si>
  <si>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</si>
  <si>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</si>
  <si>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</si>
  <si>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</si>
  <si>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</si>
  <si>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</si>
  <si>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</si>
  <si>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</si>
  <si>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</si>
  <si>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</si>
  <si>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</si>
  <si>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</si>
  <si>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</si>
  <si>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</si>
  <si>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</si>
  <si>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</si>
  <si>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</si>
  <si>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</si>
  <si>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</si>
  <si>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</si>
  <si>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</si>
  <si>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</si>
  <si>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</si>
  <si>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</si>
  <si>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</si>
  <si>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</si>
  <si>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</si>
  <si>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</si>
  <si>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</si>
  <si>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</si>
  <si>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</si>
  <si>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</si>
  <si>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</si>
  <si>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</si>
  <si>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</si>
  <si>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</si>
  <si>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</si>
  <si>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</si>
  <si>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</si>
  <si>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</si>
  <si>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</si>
  <si>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</si>
  <si>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</si>
  <si>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</si>
  <si>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</si>
  <si>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</si>
  <si>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</si>
  <si>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</si>
  <si>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</si>
  <si>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</si>
  <si>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</si>
  <si>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</si>
  <si>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</si>
  <si>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</si>
  <si>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</si>
  <si>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</si>
  <si>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</si>
  <si>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</si>
  <si>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</si>
  <si>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</si>
  <si>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</si>
  <si>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</si>
  <si>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</si>
  <si>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</si>
  <si>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</si>
  <si>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</si>
  <si>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</si>
  <si>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</si>
  <si>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</si>
  <si>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</si>
  <si>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</si>
  <si>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</si>
  <si>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</si>
  <si>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</si>
  <si>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</si>
  <si>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</si>
  <si>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</si>
  <si>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</si>
  <si>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</si>
  <si>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</si>
  <si>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</si>
  <si>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</si>
  <si>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</si>
  <si>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</si>
  <si>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</si>
  <si>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</si>
  <si>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</si>
  <si>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</si>
  <si>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</si>
  <si>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</si>
  <si>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</si>
  <si>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</si>
  <si>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</si>
  <si>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</si>
  <si>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</si>
  <si>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</si>
  <si>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</si>
  <si>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</si>
  <si>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</si>
  <si>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</si>
  <si>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</si>
  <si>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</si>
  <si>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</si>
  <si>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</si>
  <si>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</si>
  <si>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</si>
  <si>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</si>
  <si>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</si>
  <si>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</si>
  <si>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</si>
  <si>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</si>
  <si>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</si>
  <si>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</si>
  <si>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</si>
  <si>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</si>
  <si>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</si>
  <si>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</si>
  <si>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</si>
  <si>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</si>
  <si>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</si>
  <si>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</si>
  <si>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</si>
  <si>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</si>
  <si>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</si>
  <si>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</si>
  <si>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</si>
  <si>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</si>
  <si>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</si>
  <si>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</si>
  <si>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</si>
  <si>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</si>
  <si>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</si>
  <si>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</si>
  <si>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</si>
  <si>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</si>
  <si>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</si>
  <si>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</si>
  <si>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</si>
  <si>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</si>
  <si>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</si>
  <si>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</si>
  <si>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</si>
  <si>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</si>
  <si>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</si>
  <si>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</si>
  <si>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</si>
  <si>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</si>
  <si>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</si>
  <si>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</si>
  <si>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</si>
  <si>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</si>
  <si>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</si>
  <si>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</si>
  <si>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</si>
  <si>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</si>
  <si>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</si>
  <si>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</si>
  <si>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</si>
  <si>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</si>
  <si>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</si>
  <si>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</si>
  <si>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</si>
  <si>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</si>
  <si>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</si>
  <si>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</si>
  <si>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</si>
  <si>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</si>
  <si>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</si>
  <si>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</si>
  <si>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</si>
  <si>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</si>
  <si>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</si>
  <si>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</si>
  <si>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</si>
  <si>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</si>
  <si>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</si>
  <si>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</si>
  <si>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</si>
  <si>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</si>
  <si>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</si>
  <si>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</si>
  <si>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</si>
  <si>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</si>
  <si>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</si>
  <si>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</si>
  <si>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</si>
  <si>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</si>
  <si>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</si>
  <si>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</si>
  <si>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</si>
  <si>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</si>
  <si>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</si>
  <si>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</si>
  <si>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</si>
  <si>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</si>
  <si>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</si>
  <si>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</si>
  <si>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</si>
  <si>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</si>
  <si>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</si>
  <si>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</si>
  <si>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</si>
  <si>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</si>
  <si>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</si>
  <si>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</si>
  <si>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</si>
  <si>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</si>
  <si>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</si>
  <si>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</si>
  <si>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</si>
  <si>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</si>
  <si>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</si>
  <si>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</si>
  <si>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</si>
  <si>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</si>
  <si>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</si>
  <si>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</si>
  <si>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</si>
  <si>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</si>
  <si>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</si>
  <si>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</si>
  <si>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</si>
  <si>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</si>
  <si>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</si>
  <si>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</si>
  <si>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</si>
  <si>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</si>
  <si>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</si>
  <si>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</si>
  <si>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</si>
  <si>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</si>
  <si>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</si>
  <si>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</si>
  <si>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</si>
  <si>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</si>
  <si>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</si>
  <si>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</si>
  <si>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</si>
  <si>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</si>
  <si>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</si>
  <si>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</si>
  <si>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</si>
  <si>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</si>
  <si>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</si>
  <si>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</si>
  <si>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</si>
  <si>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</si>
  <si>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</si>
  <si>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</si>
  <si>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</si>
  <si>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</si>
  <si>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</si>
  <si>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</si>
  <si>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</si>
  <si>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</si>
  <si>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</si>
  <si>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</si>
  <si>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</si>
  <si>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</si>
  <si>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</si>
  <si>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</si>
  <si>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</si>
  <si>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</si>
  <si>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</si>
  <si>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</si>
  <si>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</si>
  <si>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</si>
  <si>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</si>
  <si>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</si>
  <si>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</si>
  <si>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</si>
  <si>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</si>
  <si>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</si>
  <si>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</si>
  <si>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</si>
  <si>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</si>
  <si>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</si>
  <si>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</si>
  <si>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</si>
  <si>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</si>
  <si>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</si>
  <si>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</si>
  <si>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</si>
  <si>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</si>
  <si>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</si>
  <si>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</si>
  <si>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</si>
  <si>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</si>
  <si>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</si>
  <si>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</si>
  <si>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</si>
  <si>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</si>
  <si>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</si>
  <si>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</si>
  <si>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</si>
  <si>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</si>
  <si>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</si>
  <si>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</si>
  <si>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</si>
  <si>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</si>
  <si>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</si>
  <si>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</si>
  <si>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</si>
  <si>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</si>
  <si>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</si>
  <si>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</si>
  <si>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</si>
  <si>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</si>
  <si>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</si>
  <si>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</si>
  <si>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</si>
  <si>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</si>
  <si>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</si>
  <si>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</si>
  <si>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</si>
  <si>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</si>
  <si>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</si>
  <si>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</si>
  <si>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</si>
  <si>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</si>
  <si>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</si>
  <si>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</si>
  <si>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</si>
  <si>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</si>
  <si>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</si>
  <si>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</si>
  <si>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</si>
  <si>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</si>
  <si>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</si>
  <si>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</si>
  <si>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</si>
  <si>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</si>
  <si>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</si>
  <si>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</si>
  <si>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</si>
  <si>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</si>
  <si>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</si>
  <si>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</si>
  <si>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</si>
  <si>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</si>
  <si>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</si>
  <si>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</si>
  <si>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</si>
  <si>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</si>
  <si>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</si>
  <si>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</si>
  <si>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</si>
  <si>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</si>
  <si>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</si>
  <si>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</si>
  <si>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</si>
  <si>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</si>
  <si>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</si>
  <si>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</si>
  <si>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</si>
  <si>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</si>
  <si>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</si>
  <si>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</si>
  <si>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</si>
  <si>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</si>
  <si>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</si>
  <si>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</si>
  <si>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</si>
  <si>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</si>
  <si>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</si>
  <si>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</si>
  <si>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</si>
  <si>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</si>
  <si>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</si>
  <si>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</si>
  <si>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</si>
  <si>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</si>
  <si>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</si>
  <si>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</si>
  <si>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</si>
  <si>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</si>
  <si>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</si>
  <si>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</si>
  <si>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</si>
  <si>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</si>
  <si>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</si>
  <si>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</si>
  <si>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</si>
  <si>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</si>
  <si>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</si>
  <si>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</si>
  <si>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</si>
  <si>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</si>
  <si>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</si>
  <si>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</si>
  <si>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</si>
  <si>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</si>
  <si>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</si>
  <si>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</si>
  <si>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</si>
  <si>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</si>
  <si>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</si>
  <si>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</si>
  <si>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</si>
  <si>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</si>
  <si>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</si>
  <si>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</si>
  <si>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</si>
  <si>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</si>
  <si>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</si>
  <si>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</si>
  <si>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</si>
  <si>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</si>
  <si>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</si>
  <si>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</si>
  <si>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</si>
  <si>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</si>
  <si>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</si>
  <si>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</si>
  <si>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</si>
  <si>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</si>
  <si>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</si>
  <si>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</si>
  <si>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</si>
  <si>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</si>
  <si>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</si>
  <si>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</si>
  <si>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</si>
  <si>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</si>
  <si>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</si>
  <si>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</si>
  <si>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</si>
  <si>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</si>
  <si>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</si>
  <si>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</si>
  <si>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</si>
  <si>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</si>
  <si>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</si>
  <si>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</si>
  <si>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</si>
  <si>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</si>
  <si>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</si>
  <si>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</si>
  <si>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</si>
  <si>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</si>
  <si>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</si>
  <si>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</si>
  <si>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</si>
  <si>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</si>
  <si>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</si>
  <si>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</si>
  <si>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</si>
  <si>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</si>
  <si>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</si>
  <si>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</si>
  <si>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</si>
  <si>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</si>
  <si>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</si>
  <si>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</si>
  <si>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</si>
  <si>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</si>
  <si>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</si>
  <si>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</si>
  <si>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</si>
  <si>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</si>
  <si>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</si>
  <si>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</si>
  <si>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</si>
  <si>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</si>
  <si>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</si>
  <si>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</si>
  <si>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</si>
  <si>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</si>
  <si>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</si>
  <si>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</si>
  <si>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</si>
  <si>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</si>
  <si>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</si>
  <si>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</si>
  <si>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</si>
  <si>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</si>
  <si>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</si>
  <si>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</si>
  <si>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</si>
  <si>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</si>
  <si>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</si>
  <si>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</si>
  <si>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</si>
  <si>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</si>
  <si>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</si>
  <si>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</si>
  <si>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</si>
  <si>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</si>
  <si>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</si>
  <si>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</si>
  <si>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</si>
  <si>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</si>
  <si>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</si>
  <si>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</si>
  <si>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</si>
  <si>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</si>
  <si>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</si>
  <si>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</si>
  <si>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</si>
  <si>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</si>
  <si>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</si>
  <si>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</si>
  <si>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</si>
  <si>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</si>
  <si>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</si>
  <si>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</si>
  <si>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</si>
  <si>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</si>
  <si>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</si>
  <si>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</si>
  <si>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</si>
  <si>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</si>
  <si>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</si>
  <si>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</si>
  <si>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</si>
  <si>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</si>
  <si>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</si>
  <si>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</si>
  <si>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</si>
  <si>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</si>
  <si>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</si>
  <si>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</si>
  <si>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</si>
  <si>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</si>
  <si>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</si>
  <si>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</si>
  <si>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</si>
  <si>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</si>
  <si>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</si>
  <si>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</si>
  <si>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</si>
  <si>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</si>
  <si>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</si>
  <si>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</si>
  <si>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</si>
  <si>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</si>
  <si>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</si>
  <si>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</si>
  <si>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</si>
  <si>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</si>
  <si>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</si>
  <si>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</si>
  <si>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</si>
  <si>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</si>
  <si>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</si>
  <si>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</si>
  <si>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</si>
  <si>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</si>
  <si>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</si>
  <si>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</si>
  <si>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</si>
  <si>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</si>
  <si>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</si>
  <si>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</si>
  <si>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</si>
  <si>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</si>
  <si>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</si>
  <si>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</si>
  <si>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</si>
  <si>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</si>
  <si>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</si>
  <si>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</si>
  <si>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</si>
  <si>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</si>
  <si>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</si>
  <si>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</si>
  <si>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</si>
  <si>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</si>
  <si>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</si>
  <si>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</si>
  <si>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</si>
  <si>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</si>
  <si>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</si>
  <si>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</si>
  <si>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</si>
  <si>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</si>
  <si>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</si>
  <si>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</si>
  <si>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</si>
  <si>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</si>
  <si>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</si>
  <si>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</si>
  <si>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</si>
  <si>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</si>
  <si>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</si>
  <si>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</si>
  <si>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</si>
  <si>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</si>
  <si>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</si>
  <si>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</si>
  <si>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</si>
  <si>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</si>
  <si>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</si>
  <si>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</si>
  <si>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</si>
  <si>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</si>
  <si>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</si>
  <si>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</si>
  <si>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</si>
  <si>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</si>
  <si>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</si>
  <si>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</si>
  <si>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</si>
  <si>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</si>
  <si>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</si>
  <si>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</si>
  <si>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</si>
  <si>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</si>
  <si>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</si>
  <si>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</si>
  <si>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</si>
  <si>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</si>
  <si>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</si>
  <si>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</si>
  <si>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</si>
  <si>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</si>
  <si>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</si>
  <si>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</si>
  <si>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</si>
  <si>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</si>
  <si>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</si>
  <si>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</si>
  <si>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</si>
  <si>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</si>
  <si>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</si>
  <si>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</si>
  <si>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</si>
  <si>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</si>
  <si>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</si>
  <si>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</si>
  <si>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</si>
  <si>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</si>
  <si>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</si>
  <si>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</si>
  <si>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</si>
  <si>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</si>
  <si>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</si>
  <si>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</si>
  <si>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</si>
  <si>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</si>
  <si>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</si>
  <si>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</si>
  <si>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</si>
  <si>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</si>
  <si>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</si>
  <si>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</si>
  <si>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</si>
  <si>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</si>
  <si>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</si>
  <si>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</si>
  <si>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</si>
  <si>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</si>
  <si>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</si>
  <si>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</si>
  <si>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</si>
  <si>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</si>
  <si>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</si>
  <si>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</si>
  <si>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</si>
  <si>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</si>
  <si>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</si>
  <si>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</si>
  <si>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</si>
  <si>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</si>
  <si>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</si>
  <si>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</si>
  <si>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</si>
  <si>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</si>
  <si>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</si>
  <si>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</si>
  <si>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</si>
  <si>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</si>
  <si>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</si>
  <si>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</si>
  <si>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</si>
  <si>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</si>
  <si>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</si>
  <si>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</si>
  <si>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</si>
  <si>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</si>
  <si>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</si>
  <si>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</si>
  <si>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</si>
  <si>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</si>
  <si>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</si>
  <si>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</si>
  <si>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</si>
  <si>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</si>
  <si>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</si>
  <si>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</si>
  <si>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</si>
  <si>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</si>
  <si>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</si>
  <si>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</si>
  <si>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</si>
  <si>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</si>
  <si>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</si>
  <si>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</si>
  <si>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</si>
  <si>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</si>
  <si>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</si>
  <si>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</si>
  <si>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</si>
  <si>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</si>
  <si>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</si>
  <si>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</si>
  <si>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</si>
  <si>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</si>
  <si>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</si>
  <si>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</si>
  <si>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</si>
  <si>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</si>
  <si>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</si>
  <si>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</si>
  <si>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</si>
  <si>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</si>
  <si>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</si>
  <si>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</si>
  <si>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</si>
  <si>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</si>
  <si>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</si>
  <si>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</si>
  <si>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</si>
  <si>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</si>
  <si>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</si>
  <si>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</si>
  <si>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</si>
  <si>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</si>
  <si>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</si>
  <si>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</si>
  <si>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</si>
  <si>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</si>
  <si>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</si>
  <si>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</si>
  <si>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</si>
  <si>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</si>
  <si>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</si>
  <si>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</si>
  <si>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</si>
  <si>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</si>
  <si>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</si>
  <si>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</si>
  <si>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</si>
  <si>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</si>
  <si>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</si>
  <si>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</si>
  <si>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</si>
  <si>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</si>
  <si>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</si>
  <si>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</si>
  <si>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</si>
  <si>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</si>
  <si>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</si>
  <si>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</si>
  <si>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</si>
  <si>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</si>
  <si>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</si>
  <si>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</si>
  <si>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</si>
  <si>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</si>
  <si>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</si>
  <si>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</si>
  <si>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</si>
  <si>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</si>
  <si>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</si>
  <si>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</si>
  <si>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</si>
  <si>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</si>
  <si>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</si>
  <si>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</si>
  <si>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</si>
  <si>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</si>
  <si>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</si>
  <si>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</si>
  <si>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</si>
  <si>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</si>
  <si>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</si>
  <si>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</si>
  <si>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</si>
  <si>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</si>
  <si>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</si>
  <si>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</si>
  <si>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</si>
  <si>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</si>
  <si>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</si>
  <si>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</si>
  <si>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</si>
  <si>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</si>
  <si>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</si>
  <si>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</si>
  <si>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</si>
  <si>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</si>
  <si>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</si>
  <si>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</si>
  <si>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</si>
  <si>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</si>
  <si>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</si>
  <si>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</si>
  <si>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</si>
  <si>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</si>
  <si>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</si>
  <si>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</si>
  <si>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</si>
  <si>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</si>
  <si>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</si>
  <si>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</si>
  <si>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</si>
  <si>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</si>
  <si>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</si>
  <si>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</si>
  <si>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</si>
  <si>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</si>
  <si>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</si>
  <si>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</si>
  <si>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</si>
  <si>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</si>
  <si>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</si>
  <si>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</si>
  <si>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</si>
  <si>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</si>
  <si>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</si>
  <si>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</si>
  <si>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</si>
  <si>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</si>
  <si>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</si>
  <si>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</si>
  <si>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</si>
  <si>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</si>
  <si>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</si>
  <si>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</si>
  <si>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</si>
  <si>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</si>
  <si>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</si>
  <si>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</si>
  <si>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</si>
  <si>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</si>
  <si>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</si>
  <si>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</si>
  <si>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</si>
  <si>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</si>
  <si>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</si>
  <si>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</si>
  <si>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</si>
  <si>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</si>
  <si>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</si>
  <si>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</si>
  <si>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</si>
  <si>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</si>
  <si>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</si>
  <si>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</si>
  <si>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</si>
  <si>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</si>
  <si>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</si>
  <si>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</si>
  <si>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</si>
  <si>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</si>
  <si>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</si>
  <si>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</si>
  <si>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</si>
  <si>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</si>
  <si>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</si>
  <si>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</si>
  <si>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</si>
  <si>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</si>
  <si>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</si>
  <si>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</si>
  <si>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VALLADOLID</t>
  </si>
  <si>
    <t>Resumenes por Partidos Judiciales</t>
  </si>
  <si>
    <t>MEDINA DE RIOSECO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</si>
</sst>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t6ItWbhppJ63Uumu3Vr1nVsetgoQvf//YmB693FmwHTAPsAZJQenLg22uPiy6mHh3x3vZnhthYFBLR+3+z0Tg==" saltValue="PnS9yTx6K8ZgUQ+FssdR2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59.543478260869563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286</v>
      </c>
      <c r="D16" s="225">
        <f>IF(ISNUMBER(IF(D_I="SI",Datos!I16,Datos!I16+Datos!AC16)),IF(D_I="SI",Datos!I16,Datos!I16+Datos!AC16)," - ")</f>
        <v>285</v>
      </c>
      <c r="E16" s="226">
        <f>IF(ISNUMBER(IF(D_I="SI",Datos!J16,Datos!J16+Datos!AD16)),IF(D_I="SI",Datos!J16,Datos!J16+Datos!AD16)," - ")</f>
        <v>122</v>
      </c>
      <c r="F16" s="226">
        <f>IF(ISNUMBER(IF(D_I="SI",Datos!K16,Datos!K16+Datos!AE16)),IF(D_I="SI",Datos!K16,Datos!K16+Datos!AE16)," - ")</f>
        <v>131</v>
      </c>
      <c r="G16" s="1034" t="str">
        <f>IF(Datos!E16&lt;&gt;"",Datos!E16,Datos!D16)</f>
        <v>04</v>
      </c>
      <c r="H16" s="227">
        <f>IF(ISNUMBER(IF(D_I="SI",Datos!L16,Datos!L16+Datos!AF16)),IF(D_I="SI",Datos!L16,Datos!L16+Datos!AF16)," - ")</f>
        <v>277</v>
      </c>
      <c r="I16" s="1044" t="str">
        <f>IF(ISNUMBER(Datos!AS16/Datos!BM16),Datos!AS16/Datos!BM16," - ")</f>
        <v xml:space="preserve"> - </v>
      </c>
      <c r="J16" s="1045">
        <f>IF(ISNUMBER(Datos!BY16/Datos!CN16),Datos!BY16/Datos!CN16," - ")</f>
        <v>0</v>
      </c>
      <c r="K16" s="230">
        <f t="shared" si="3"/>
        <v>-3.1468531468531472E-2</v>
      </c>
      <c r="L16" s="1025">
        <f>IF(ISNUMBER(NºAsuntos!I16/NºAsuntos!G16),(NºAsuntos!I16/NºAsuntos!G16)*11," - ")</f>
        <v>23.259541984732824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8</v>
      </c>
      <c r="F17" s="226">
        <f>IF(ISNUMBER(IF(D_I="SI",Datos!K17,Datos!K17+Datos!AE17)),IF(D_I="SI",Datos!K17,Datos!K17+Datos!AE17)," - ")</f>
        <v>2</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0.75</v>
      </c>
      <c r="L17" s="1025">
        <f>IF(ISNUMBER(NºAsuntos!I17/NºAsuntos!G17),(NºAsuntos!I17/NºAsuntos!G17)*11," - ")</f>
        <v>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294</v>
      </c>
      <c r="D18" s="1049">
        <f>SUBTOTAL(9,D15:D17)</f>
        <v>293</v>
      </c>
      <c r="E18" s="1050">
        <f>SUBTOTAL(9,E15:E17)</f>
        <v>130</v>
      </c>
      <c r="F18" s="1050">
        <f>SUBTOTAL(9,F15:F17)</f>
        <v>133</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294</v>
      </c>
      <c r="D19" s="1071">
        <f>SUBTOTAL(9,D9:D18)</f>
        <v>293</v>
      </c>
      <c r="E19" s="1072">
        <f>SUBTOTAL(9,E9:E18)</f>
        <v>131</v>
      </c>
      <c r="F19" s="1072">
        <f>SUBTOTAL(9,F9:F18)</f>
        <v>133</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Ew2PhSTmzRI4UzGdz/iYoFFfkRMnLLouSQrP4UwOk03tgQUZTUV7WHTh6T/pRhJwUKmoxZSuxronifKe71gSw==" saltValue="r+/iJT7syvvTos58Vv2Z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AmrkZBxRJudJ/osCRq32w/K6zU7c28kfOly0jvfDu4Mvku7zushdKKCVyMa76pAy4ATaj9Az8ujqvP0Ewbbw==" saltValue="c1mueOzQz357IVZ2nU2a3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494</v>
      </c>
      <c r="J12" s="183">
        <v>72</v>
      </c>
      <c r="K12" s="183">
        <v>85</v>
      </c>
      <c r="L12" s="183">
        <v>483</v>
      </c>
      <c r="M12" s="183">
        <v>31</v>
      </c>
      <c r="N12" s="183">
        <v>15</v>
      </c>
      <c r="O12" s="181">
        <v>57</v>
      </c>
      <c r="P12" s="183">
        <v>16</v>
      </c>
      <c r="Q12" s="183">
        <v>10</v>
      </c>
      <c r="R12" s="183">
        <v>686</v>
      </c>
      <c r="S12" s="183">
        <v>293</v>
      </c>
      <c r="T12" s="183">
        <v>122</v>
      </c>
      <c r="U12" s="183">
        <v>69</v>
      </c>
      <c r="V12" s="183">
        <v>346</v>
      </c>
      <c r="W12" s="183">
        <v>21</v>
      </c>
      <c r="X12" s="189">
        <v>24</v>
      </c>
      <c r="Y12" s="191">
        <v>17</v>
      </c>
      <c r="Z12" s="181">
        <v>5</v>
      </c>
      <c r="AA12" s="181">
        <v>7</v>
      </c>
      <c r="AB12" s="181">
        <v>15</v>
      </c>
      <c r="AC12" s="183">
        <v>0</v>
      </c>
      <c r="AD12" s="183">
        <v>0</v>
      </c>
      <c r="AE12" s="183">
        <v>0</v>
      </c>
      <c r="AF12" s="189">
        <v>0</v>
      </c>
      <c r="AG12" s="202">
        <v>6</v>
      </c>
      <c r="AH12" s="183">
        <v>1</v>
      </c>
      <c r="AI12" s="183">
        <v>0</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299</v>
      </c>
      <c r="AZ12" s="127">
        <f t="shared" si="1"/>
        <v>123</v>
      </c>
      <c r="BA12" s="127">
        <f t="shared" si="1"/>
        <v>69</v>
      </c>
      <c r="BB12" s="127">
        <f t="shared" si="1"/>
        <v>353</v>
      </c>
      <c r="BC12" s="125">
        <f>IF(ISNUMBER(X12),X12," - ")</f>
        <v>24</v>
      </c>
      <c r="BD12" s="126">
        <f t="shared" si="2"/>
        <v>0.56097560975609762</v>
      </c>
      <c r="BE12" s="127">
        <f t="shared" si="3"/>
        <v>5.1159420289855069</v>
      </c>
      <c r="BF12" s="127">
        <f t="shared" si="4"/>
        <v>0.34782608695652173</v>
      </c>
      <c r="BG12" s="196">
        <f t="shared" si="5"/>
        <v>6.1159420289855069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494</v>
      </c>
      <c r="J13" s="184">
        <f t="shared" si="6"/>
        <v>73</v>
      </c>
      <c r="K13" s="184">
        <f t="shared" si="6"/>
        <v>85</v>
      </c>
      <c r="L13" s="184">
        <f t="shared" si="6"/>
        <v>484</v>
      </c>
      <c r="M13" s="184">
        <f t="shared" si="6"/>
        <v>31</v>
      </c>
      <c r="N13" s="184">
        <f t="shared" si="6"/>
        <v>15</v>
      </c>
      <c r="O13" s="184">
        <f t="shared" si="6"/>
        <v>57</v>
      </c>
      <c r="P13" s="184">
        <f t="shared" si="6"/>
        <v>16</v>
      </c>
      <c r="Q13" s="184">
        <f t="shared" si="6"/>
        <v>10</v>
      </c>
      <c r="R13" s="184">
        <f t="shared" si="6"/>
        <v>686</v>
      </c>
      <c r="S13" s="184">
        <f t="shared" si="6"/>
        <v>293</v>
      </c>
      <c r="T13" s="184">
        <f t="shared" si="6"/>
        <v>122</v>
      </c>
      <c r="U13" s="184">
        <f t="shared" si="6"/>
        <v>69</v>
      </c>
      <c r="V13" s="184">
        <f t="shared" si="6"/>
        <v>346</v>
      </c>
      <c r="W13" s="184">
        <f t="shared" si="6"/>
        <v>21</v>
      </c>
      <c r="X13" s="184">
        <f t="shared" si="6"/>
        <v>24</v>
      </c>
      <c r="Y13" s="184">
        <f t="shared" si="6"/>
        <v>17</v>
      </c>
      <c r="Z13" s="184">
        <f t="shared" si="6"/>
        <v>5</v>
      </c>
      <c r="AA13" s="184">
        <f t="shared" si="6"/>
        <v>7</v>
      </c>
      <c r="AB13" s="184">
        <f t="shared" si="6"/>
        <v>15</v>
      </c>
      <c r="AC13" s="184">
        <f t="shared" si="6"/>
        <v>0</v>
      </c>
      <c r="AD13" s="184">
        <f t="shared" si="6"/>
        <v>0</v>
      </c>
      <c r="AE13" s="184">
        <f t="shared" si="6"/>
        <v>0</v>
      </c>
      <c r="AF13" s="184">
        <f>SUBTOTAL(9,AF9:AF12)</f>
        <v>0</v>
      </c>
      <c r="AG13" s="184">
        <f t="shared" ref="AG13:AT13" si="7">SUBTOTAL(9,AG8:AG12)</f>
        <v>6</v>
      </c>
      <c r="AH13" s="184">
        <f t="shared" si="7"/>
        <v>1</v>
      </c>
      <c r="AI13" s="184">
        <f t="shared" si="7"/>
        <v>0</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299</v>
      </c>
      <c r="AZ13" s="184">
        <f>SUBTOTAL(9,AZ8:AZ12)</f>
        <v>123</v>
      </c>
      <c r="BA13" s="184">
        <f>SUBTOTAL(9,BA8:BA12)</f>
        <v>69</v>
      </c>
      <c r="BB13" s="184">
        <f>SUBTOTAL(9,BB8:BB12)</f>
        <v>353</v>
      </c>
      <c r="BC13" s="184">
        <f>SUBTOTAL(9,BC8:BC12)</f>
        <v>24</v>
      </c>
      <c r="BD13" s="205">
        <f>IF(ISNUMBER(BA13/AZ13),BA13/AZ13," - ")</f>
        <v>0.56097560975609762</v>
      </c>
      <c r="BE13" s="206">
        <f>IF(ISNUMBER(BB13/BA13),BB13/BA13, " - ")</f>
        <v>5.1159420289855069</v>
      </c>
      <c r="BF13" s="206">
        <f>IF(ISNUMBER(BC13/BA13),BC13/BA13, " - ")</f>
        <v>0.34782608695652173</v>
      </c>
      <c r="BG13" s="207">
        <f>IF(ISNUMBER((AY13+AZ13)/BA13),(AY13+AZ13)/BA13," - ")</f>
        <v>6.1159420289855069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285</v>
      </c>
      <c r="J16" s="183">
        <v>122</v>
      </c>
      <c r="K16" s="183">
        <v>131</v>
      </c>
      <c r="L16" s="183">
        <v>277</v>
      </c>
      <c r="M16" s="183">
        <v>41</v>
      </c>
      <c r="N16" s="183">
        <v>58</v>
      </c>
      <c r="O16" s="181">
        <v>3</v>
      </c>
      <c r="P16" s="183">
        <v>7</v>
      </c>
      <c r="Q16" s="183">
        <v>3</v>
      </c>
      <c r="R16" s="183">
        <v>57</v>
      </c>
      <c r="S16" s="183">
        <v>199</v>
      </c>
      <c r="T16" s="183">
        <v>132</v>
      </c>
      <c r="U16" s="183">
        <v>72</v>
      </c>
      <c r="V16" s="183">
        <v>259</v>
      </c>
      <c r="W16" s="183">
        <v>6</v>
      </c>
      <c r="X16" s="189">
        <v>29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199</v>
      </c>
      <c r="AZ16" s="127">
        <f t="shared" si="9"/>
        <v>132</v>
      </c>
      <c r="BA16" s="127">
        <f t="shared" si="9"/>
        <v>72</v>
      </c>
      <c r="BB16" s="127">
        <f t="shared" si="9"/>
        <v>259</v>
      </c>
      <c r="BC16" s="125">
        <f>IF(ISNUMBER(W16),W16," - ")</f>
        <v>6</v>
      </c>
      <c r="BD16" s="126">
        <f t="shared" ref="BD16" si="11">IF(ISNUMBER(BA16/AZ16),BA16/AZ16," - ")</f>
        <v>0.54545454545454541</v>
      </c>
      <c r="BE16" s="127">
        <f t="shared" ref="BE16" si="12">IF(ISNUMBER(BB16/BA16),BB16/BA16, " - ")</f>
        <v>3.5972222222222223</v>
      </c>
      <c r="BF16" s="127">
        <f t="shared" ref="BF16" si="13">IF(ISNUMBER(BC16/BA16),BC16/BA16, " - ")</f>
        <v>8.3333333333333329E-2</v>
      </c>
      <c r="BG16" s="196">
        <f t="shared" si="10"/>
        <v>4.5972222222222223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8</v>
      </c>
      <c r="K17" s="183">
        <v>2</v>
      </c>
      <c r="L17" s="183">
        <v>14</v>
      </c>
      <c r="M17" s="183">
        <v>0</v>
      </c>
      <c r="N17" s="183">
        <v>7</v>
      </c>
      <c r="O17" s="183">
        <v>0</v>
      </c>
      <c r="P17" s="183">
        <v>0</v>
      </c>
      <c r="Q17" s="183">
        <v>0</v>
      </c>
      <c r="R17" s="183">
        <v>0</v>
      </c>
      <c r="S17" s="183">
        <v>1</v>
      </c>
      <c r="T17" s="183">
        <v>3</v>
      </c>
      <c r="U17" s="183">
        <v>3</v>
      </c>
      <c r="V17" s="183">
        <v>1</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3</v>
      </c>
      <c r="BA17" s="129">
        <f t="shared" si="14"/>
        <v>3</v>
      </c>
      <c r="BB17" s="129">
        <f t="shared" si="14"/>
        <v>1</v>
      </c>
      <c r="BC17" s="125">
        <f>IF(ISNUMBER(W17),W17," - ")</f>
        <v>0</v>
      </c>
      <c r="BD17" s="126">
        <f>IF(ISNUMBER(BA17/AZ17),BA17/AZ17," - ")</f>
        <v>1</v>
      </c>
      <c r="BE17" s="127">
        <f>IF(ISNUMBER(BB17/BA17),BB17/BA17, " - ")</f>
        <v>0.33333333333333331</v>
      </c>
      <c r="BF17" s="127">
        <f>IF(ISNUMBER(BC17/BA17),BC17/BA17, " - ")</f>
        <v>0</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293</v>
      </c>
      <c r="J18" s="184">
        <f t="shared" si="15"/>
        <v>130</v>
      </c>
      <c r="K18" s="184">
        <f t="shared" si="15"/>
        <v>133</v>
      </c>
      <c r="L18" s="184">
        <f t="shared" si="15"/>
        <v>291</v>
      </c>
      <c r="M18" s="184">
        <f t="shared" si="15"/>
        <v>41</v>
      </c>
      <c r="N18" s="184">
        <f t="shared" si="15"/>
        <v>65</v>
      </c>
      <c r="O18" s="184">
        <f t="shared" si="15"/>
        <v>3</v>
      </c>
      <c r="P18" s="184">
        <f t="shared" si="15"/>
        <v>7</v>
      </c>
      <c r="Q18" s="184">
        <f t="shared" si="15"/>
        <v>3</v>
      </c>
      <c r="R18" s="184">
        <f t="shared" si="15"/>
        <v>57</v>
      </c>
      <c r="S18" s="184">
        <f t="shared" si="15"/>
        <v>200</v>
      </c>
      <c r="T18" s="184">
        <f t="shared" si="15"/>
        <v>135</v>
      </c>
      <c r="U18" s="184">
        <f t="shared" si="15"/>
        <v>75</v>
      </c>
      <c r="V18" s="184">
        <f t="shared" si="15"/>
        <v>260</v>
      </c>
      <c r="W18" s="184">
        <f t="shared" si="15"/>
        <v>6</v>
      </c>
      <c r="X18" s="184">
        <f t="shared" si="15"/>
        <v>32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200</v>
      </c>
      <c r="AZ18" s="184">
        <f>SUBTOTAL(9,AZ14:AZ17)</f>
        <v>135</v>
      </c>
      <c r="BA18" s="184">
        <f>SUBTOTAL(9,BA14:BA17)</f>
        <v>75</v>
      </c>
      <c r="BB18" s="184">
        <f>SUBTOTAL(9,BB14:BB17)</f>
        <v>260</v>
      </c>
      <c r="BC18" s="184">
        <f>SUBTOTAL(9,BC14:BC17)</f>
        <v>6</v>
      </c>
      <c r="BD18" s="205">
        <f>IF(ISNUMBER(BA18/AZ18),BA18/AZ18," - ")</f>
        <v>0.55555555555555558</v>
      </c>
      <c r="BE18" s="206">
        <f>IF(ISNUMBER(BB18/BA18),BB18/BA18, " - ")</f>
        <v>3.4666666666666668</v>
      </c>
      <c r="BF18" s="206">
        <f>IF(ISNUMBER(BC18/BA18),BC18/BA18, " - ")</f>
        <v>0.08</v>
      </c>
      <c r="BG18" s="207">
        <f>IF(ISNUMBER((AY18+AZ18)/BA18),(AY18+AZ18)/BA18," - ")</f>
        <v>4.4666666666666668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787</v>
      </c>
      <c r="J19" s="134">
        <f t="shared" si="18"/>
        <v>203</v>
      </c>
      <c r="K19" s="134">
        <f t="shared" si="18"/>
        <v>218</v>
      </c>
      <c r="L19" s="134">
        <f t="shared" si="18"/>
        <v>775</v>
      </c>
      <c r="M19" s="134">
        <f t="shared" si="18"/>
        <v>72</v>
      </c>
      <c r="N19" s="134">
        <f t="shared" si="18"/>
        <v>80</v>
      </c>
      <c r="O19" s="134">
        <f t="shared" si="18"/>
        <v>60</v>
      </c>
      <c r="P19" s="134">
        <f t="shared" si="18"/>
        <v>23</v>
      </c>
      <c r="Q19" s="134">
        <f t="shared" si="18"/>
        <v>13</v>
      </c>
      <c r="R19" s="134">
        <f t="shared" si="18"/>
        <v>743</v>
      </c>
      <c r="S19" s="134">
        <f t="shared" si="18"/>
        <v>493</v>
      </c>
      <c r="T19" s="134">
        <f t="shared" si="18"/>
        <v>257</v>
      </c>
      <c r="U19" s="134">
        <f t="shared" si="18"/>
        <v>144</v>
      </c>
      <c r="V19" s="134">
        <f t="shared" si="18"/>
        <v>606</v>
      </c>
      <c r="W19" s="134">
        <f t="shared" si="18"/>
        <v>27</v>
      </c>
      <c r="X19" s="134">
        <f t="shared" si="18"/>
        <v>56</v>
      </c>
      <c r="Y19" s="134">
        <f t="shared" si="18"/>
        <v>17</v>
      </c>
      <c r="Z19" s="134">
        <f t="shared" si="18"/>
        <v>5</v>
      </c>
      <c r="AA19" s="134">
        <f t="shared" si="18"/>
        <v>7</v>
      </c>
      <c r="AB19" s="134">
        <f t="shared" si="18"/>
        <v>15</v>
      </c>
      <c r="AC19" s="134">
        <f t="shared" si="18"/>
        <v>0</v>
      </c>
      <c r="AD19" s="134">
        <f t="shared" si="18"/>
        <v>0</v>
      </c>
      <c r="AE19" s="134">
        <f t="shared" si="18"/>
        <v>0</v>
      </c>
      <c r="AF19" s="134">
        <f t="shared" si="18"/>
        <v>0</v>
      </c>
      <c r="AG19" s="134">
        <f t="shared" si="18"/>
        <v>6</v>
      </c>
      <c r="AH19" s="134">
        <f t="shared" si="18"/>
        <v>1</v>
      </c>
      <c r="AI19" s="134">
        <f t="shared" si="18"/>
        <v>0</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499</v>
      </c>
      <c r="AZ19" s="134">
        <f>SUBTOTAL(9,AZ9:AZ18)</f>
        <v>258</v>
      </c>
      <c r="BA19" s="134">
        <f>SUBTOTAL(9,BA9:BA18)</f>
        <v>144</v>
      </c>
      <c r="BB19" s="134">
        <f>SUBTOTAL(9,BB9:BB18)</f>
        <v>613</v>
      </c>
      <c r="BC19" s="135">
        <f>SUBTOTAL(9,BC9:BC18)</f>
        <v>30</v>
      </c>
      <c r="BD19" s="213">
        <f>IF(ISNUMBER(BA19/AZ19),BA19/AZ19," - ")</f>
        <v>0.55813953488372092</v>
      </c>
      <c r="BE19" s="210">
        <f>IF(ISNUMBER(BB19/BA19),BB19/BA19, " - ")</f>
        <v>4.2569444444444446</v>
      </c>
      <c r="BF19" s="210">
        <f>IF(ISNUMBER(BC19/BA19),BC19/BA19, " - ")</f>
        <v>0.20833333333333334</v>
      </c>
      <c r="BG19" s="135">
        <f>IF(ISNUMBER((AY19+AZ19)/BA19),(AY19+AZ19)/BA19," - ")</f>
        <v>5.2569444444444446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z0WJEBS/tmM/abhcV8jI+c3ZQ13jzfADa0pf2dooJmQauS9xsrzCZ4f6uqMwPclRj+vz7XM9LLlQlBWB/dxcA==" saltValue="fuRdaRWcH7EowjWhNuMd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1MtpdIeylHq8Z7axHpjViFNLUPEs+NIQbljy5Y4xQMy3/H6Cg0DVfqPRypj16f5aLqeyoNoA8nUD6M16CNlfQ==" saltValue="dme+/pkKzB2fDdlR6ECe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686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1.1948051948051948</v>
      </c>
      <c r="BH12" s="260">
        <f>IF(ISNUMBER(((IF(J_V="SI",Datos!L12/Datos!K12,(Datos!L12+Datos!AB12)/(Datos!K12+Datos!AA12)))*11)/factor_trimestre),((IF(J_V="SI",Datos!L12/Datos!K12,(Datos!L12+Datos!AB12)/(Datos!K12+Datos!AA12)))*11)/factor_trimestre," - ")</f>
        <v>16.239130434782609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8.8235294117647058E-3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1</v>
      </c>
      <c r="AG13" s="899">
        <f t="shared" si="1"/>
        <v>0</v>
      </c>
      <c r="AH13" s="899">
        <f t="shared" si="1"/>
        <v>15</v>
      </c>
      <c r="AI13" s="899">
        <f t="shared" si="1"/>
        <v>0</v>
      </c>
      <c r="AJ13" s="899">
        <f t="shared" si="1"/>
        <v>0</v>
      </c>
      <c r="AK13" s="899">
        <f t="shared" si="1"/>
        <v>0</v>
      </c>
      <c r="AL13" s="899">
        <f t="shared" si="1"/>
        <v>0</v>
      </c>
      <c r="AM13" s="899">
        <f t="shared" si="1"/>
        <v>686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v>
      </c>
      <c r="BD13" s="899">
        <f t="shared" si="1"/>
        <v>15</v>
      </c>
      <c r="BE13" s="899">
        <f t="shared" si="1"/>
        <v>0</v>
      </c>
      <c r="BF13" s="899">
        <f t="shared" si="1"/>
        <v>0</v>
      </c>
      <c r="BG13" s="899">
        <f>IF(ISNUMBER(Datos!K13/Datos!J13),Datos!K13/Datos!J13," - ")</f>
        <v>1.1643835616438356</v>
      </c>
      <c r="BH13" s="903">
        <f>IF(ISNUMBER(((Datos!L13/Datos!K13)*11)/factor_trimestre),((Datos!L13/Datos!K13)*11)/factor_trimestre," - ")</f>
        <v>17.082352941176474</v>
      </c>
      <c r="BI13" s="899">
        <f>IF(ISNUMBER('Resol  Asuntos'!D13/NºAsuntos!G13),'Resol  Asuntos'!D13/NºAsuntos!G13," - ")</f>
        <v>0.33695652173913043</v>
      </c>
      <c r="BJ13" s="899" t="str">
        <f>IF(ISNUMBER(Datos!CI13/Datos!CJ13),Datos!CI13/Datos!CJ13," - ")</f>
        <v xml:space="preserve"> - </v>
      </c>
      <c r="BK13" s="899">
        <f>SUBTOTAL(9,BK8:BK12)</f>
        <v>0</v>
      </c>
      <c r="BL13" s="899" t="str">
        <f>IF(ISNUMBER((I13-AB13+L13)/(F13)),(I13-AB13+L13)/(F13)," - ")</f>
        <v xml:space="preserve"> - </v>
      </c>
      <c r="BM13" s="904">
        <f>SUBTOTAL(9,BM9:BM12)</f>
        <v>8.8235294117647058E-3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286</v>
      </c>
      <c r="G16" s="598">
        <f>IF(ISNUMBER(IF(D_I="SI",Datos!I16,Datos!I16+Datos!AC16)),IF(D_I="SI",Datos!I16,Datos!I16+Datos!AC16)," - ")</f>
        <v>285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131</v>
      </c>
      <c r="AC16" s="226">
        <f>IF(ISNUMBER(Datos!Q16),Datos!Q16," - ")</f>
        <v>3</v>
      </c>
      <c r="AD16" s="334"/>
      <c r="AE16" s="484"/>
      <c r="AF16" s="596">
        <f>IF(ISNUMBER(IF(D_I="SI",Datos!L16,Datos!L16+Datos!AF16)),IF(D_I="SI",Datos!L16,Datos!L16+Datos!AF16)," - ")</f>
        <v>277</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1.0737704918032787</v>
      </c>
      <c r="BH16" s="260">
        <f>IF(ISNUMBER(((IF(D_I="SI",Datos!L16/Datos!K16,(Datos!L16+Datos!AF16)/(Datos!K16+Datos!AE16)))*11)/factor_trimestre),((IF(D_I="SI",Datos!L16/Datos!K16,(Datos!L16+Datos!AF16)/(Datos!K16+Datos!AE16)))*11)/factor_trimestre," - ")</f>
        <v>6.3435114503816799</v>
      </c>
      <c r="BI16" s="243">
        <f>IF(ISNUMBER('Resol  Asuntos'!D16/NºAsuntos!G16),'Resol  Asuntos'!D16/NºAsuntos!G16," - ")</f>
        <v>0.31297709923664124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0.25</v>
      </c>
      <c r="BH17" s="260">
        <f>IF(ISNUMBER(((IF(D_I="SI",Datos!L17/Datos!K17,(Datos!L17+Datos!AF17)/(Datos!K17+Datos!AE17)))*11)/factor_trimestre),((IF(D_I="SI",Datos!L17/Datos!K17,(Datos!L17+Datos!AF17)/(Datos!K17+Datos!AE17)))*11)/factor_trimestre," - ")</f>
        <v>21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286</v>
      </c>
      <c r="G18" s="898">
        <f>SUBTOTAL(9,G15:G17)</f>
        <v>293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133</v>
      </c>
      <c r="AC18" s="899">
        <f t="shared" si="4"/>
        <v>3</v>
      </c>
      <c r="AD18" s="899">
        <f t="shared" si="4"/>
        <v>0</v>
      </c>
      <c r="AE18" s="899">
        <f t="shared" si="4"/>
        <v>0</v>
      </c>
      <c r="AF18" s="899">
        <f t="shared" si="4"/>
        <v>291</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65</v>
      </c>
      <c r="BE18" s="899">
        <f t="shared" si="4"/>
        <v>0</v>
      </c>
      <c r="BF18" s="899">
        <f t="shared" si="4"/>
        <v>0</v>
      </c>
      <c r="BG18" s="899">
        <f>IF(ISNUMBER(Datos!K18/Datos!J18),Datos!K18/Datos!J18," - ")</f>
        <v>1.023076923076923</v>
      </c>
      <c r="BH18" s="903">
        <f>IF(ISNUMBER(((Datos!L18/Datos!K18)*11)/factor_trimestre),((Datos!L18/Datos!K18)*11)/factor_trimestre," - ")</f>
        <v>6.5639097744360901</v>
      </c>
      <c r="BI18" s="899">
        <f>SUBTOTAL(9,BI15:BI17)</f>
        <v>0.31297709923664124</v>
      </c>
      <c r="BJ18" s="899">
        <f>SUBTOTAL(9,BJ15:BJ17)</f>
        <v>0</v>
      </c>
      <c r="BK18" s="899">
        <f>SUBTOTAL(9,BK15:BK17)</f>
        <v>0</v>
      </c>
      <c r="BL18" s="899">
        <f>IF(ISNUMBER((I18-AB18+L18)/(F18)),(I18-AB18+L18)/(F18)," - ")</f>
        <v>-0.46503496503496505</v>
      </c>
      <c r="BM18" s="905">
        <f>IF(ISNUMBER((Datos!P18-Datos!Q18)/(Datos!R18-Datos!P18+Datos!Q18)),(Datos!P18-Datos!Q18)/(Datos!R18-Datos!P18+Datos!Q18)," - ")</f>
        <v>7.5471698113207544E-2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286</v>
      </c>
      <c r="G19" s="820">
        <f t="shared" si="6"/>
        <v>293</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v>
      </c>
      <c r="AC19" s="821">
        <f t="shared" si="7"/>
        <v>13</v>
      </c>
      <c r="AD19" s="821">
        <f t="shared" si="7"/>
        <v>0</v>
      </c>
      <c r="AE19" s="821">
        <f t="shared" si="7"/>
        <v>0</v>
      </c>
      <c r="AF19" s="828">
        <f t="shared" si="7"/>
        <v>292</v>
      </c>
      <c r="AG19" s="828">
        <f t="shared" si="7"/>
        <v>0</v>
      </c>
      <c r="AH19" s="828">
        <f t="shared" si="7"/>
        <v>15</v>
      </c>
      <c r="AI19" s="828">
        <f t="shared" si="7"/>
        <v>0</v>
      </c>
      <c r="AJ19" s="821">
        <f t="shared" si="7"/>
        <v>0</v>
      </c>
      <c r="AK19" s="828">
        <f t="shared" si="7"/>
        <v>0</v>
      </c>
      <c r="AL19" s="828">
        <f t="shared" si="7"/>
        <v>0</v>
      </c>
      <c r="AM19" s="828">
        <f t="shared" si="7"/>
        <v>743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v>
      </c>
      <c r="BD19" s="820">
        <f t="shared" si="7"/>
        <v>80</v>
      </c>
      <c r="BE19" s="820">
        <f t="shared" si="7"/>
        <v>0</v>
      </c>
      <c r="BF19" s="830">
        <f t="shared" si="7"/>
        <v>0</v>
      </c>
      <c r="BG19" s="915">
        <f>IF(ISNUMBER(Datos!K19/Datos!J19),Datos!K19/Datos!J19," - ")</f>
        <v>1.0738916256157636</v>
      </c>
      <c r="BH19" s="915">
        <f>IF(ISNUMBER(((Datos!L19/Datos!K19)*11)/factor_trimestre),((Datos!L19/Datos!K19)*11)/factor_trimestre," - ")</f>
        <v>10.665137614678899</v>
      </c>
      <c r="BI19" s="813">
        <f>IF(ISNUMBER(Datos!J19/Datos!I19),Datos!J19/Datos!I19," - ")</f>
        <v>0.25794155019059722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-0.46503496503496505</v>
      </c>
      <c r="BM19" s="889">
        <f>IF(ISNUMBER((Datos!P19-Datos!Q19+R19)/(Datos!R19-Datos!P19+Datos!Q19-R19)),(Datos!P19-Datos!Q19+R19)/(Datos!R19-Datos!P19+Datos!Q19-R19)," - ")</f>
        <v>1.3642564802182811E-2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165.12217698823295</v>
      </c>
      <c r="G21" s="552">
        <f>IF(ISNUMBER(STDEV(G8:G18)),STDEV(G8:G18),"-")</f>
        <v>156.89072630337333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71.942338021501641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19.120669444347392</v>
      </c>
      <c r="BD21" s="551"/>
      <c r="BE21" s="551">
        <f>IF(ISNUMBER(STDEV(BE8:BE18)),STDEV(BE8:BE18),"-")</f>
        <v>0</v>
      </c>
      <c r="BF21" s="556">
        <f>IF(ISNUMBER(STDEV(BF8:BF18)),STDEV(BF8:BF18),"-")</f>
        <v>0</v>
      </c>
      <c r="BG21" s="775">
        <f>IF(ISNUMBER(STDEV(BG8:BG18)),STDEV(BG8:BG18),"-")</f>
        <v>0.52045914039753016</v>
      </c>
      <c r="BH21" s="776">
        <f>IF(ISNUMBER(STDEV(BH8:BH18)),STDEV(BH8:BH18),"-")</f>
        <v>6.6312907033396202</v>
      </c>
      <c r="BI21" s="249">
        <f>IF(ISNUMBER(STDEV(BI8:BI18)),STDEV(BI8:BI18),"-")</f>
        <v>0.16088273479017867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9Po3jQMiLvHaJx+LYpB7mdwrKjjf3D4s3KCWs9faWQRO7MciUxki0UKNzQ4VomqlbQtgG//9kdC9iT3sKSd9A==" saltValue="oGQgYE/hRAg7nhm3aI0s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 RIOSECO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686</v>
      </c>
      <c r="AF12" s="229" t="str">
        <f>IF(ISNUMBER(Datos!BV12),Datos!BV12," - ")</f>
        <v xml:space="preserve"> - </v>
      </c>
      <c r="AG12" s="225" t="str">
        <f>IF(ISNUMBER(Datos!DV12),Datos!DV12," - ")</f>
        <v xml:space="preserve"> - </v>
      </c>
      <c r="AH12" s="298"/>
      <c r="AI12" s="227"/>
      <c r="AJ12" s="225">
        <f>IF(ISNUMBER(Datos!M12),Datos!M12," - ")</f>
        <v>31</v>
      </c>
      <c r="AK12" s="229">
        <f>IF(ISNUMBER(Datos!N12),Datos!N12," - ")</f>
        <v>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16.239130434782609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8.8235294117647058E-3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1</v>
      </c>
      <c r="AB13" s="900">
        <f t="shared" si="2"/>
        <v>0</v>
      </c>
      <c r="AC13" s="900">
        <f t="shared" si="2"/>
        <v>0</v>
      </c>
      <c r="AD13" s="900">
        <f t="shared" si="2"/>
        <v>0</v>
      </c>
      <c r="AE13" s="900">
        <f t="shared" si="2"/>
        <v>686</v>
      </c>
      <c r="AF13" s="908">
        <f t="shared" si="2"/>
        <v>0</v>
      </c>
      <c r="AG13" s="908">
        <f t="shared" si="2"/>
        <v>0</v>
      </c>
      <c r="AH13" s="908">
        <f t="shared" si="2"/>
        <v>0</v>
      </c>
      <c r="AI13" s="908">
        <f t="shared" si="2"/>
        <v>0</v>
      </c>
      <c r="AJ13" s="908">
        <f t="shared" si="2"/>
        <v>31</v>
      </c>
      <c r="AK13" s="908">
        <f t="shared" si="2"/>
        <v>15</v>
      </c>
      <c r="AL13" s="908">
        <f t="shared" si="2"/>
        <v>0</v>
      </c>
      <c r="AM13" s="908">
        <f t="shared" si="2"/>
        <v>0</v>
      </c>
      <c r="AN13" s="908">
        <f t="shared" si="2"/>
        <v>0</v>
      </c>
      <c r="AO13" s="904">
        <f>IF(ISNUMBER(((NºAsuntos!I13/NºAsuntos!G13)*11)/factor_trimestre),((NºAsuntos!I13/NºAsuntos!G13)*11)/factor_trimestre," - ")</f>
        <v>16.271739130434781</v>
      </c>
      <c r="AP13" s="910" t="str">
        <f>IF(ISNUMBER(Datos!CI13/Datos!CJ13),Datos!CI13/Datos!CJ13," - ")</f>
        <v xml:space="preserve"> - </v>
      </c>
      <c r="AQ13" s="928">
        <f t="shared" ref="AQ13:AV13" si="3">SUBTOTAL(9,AQ9:AQ12)</f>
        <v>0</v>
      </c>
      <c r="AR13" s="928">
        <f t="shared" si="3"/>
        <v>8.8235294117647058E-3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286</v>
      </c>
      <c r="G16" s="225">
        <f>IF(ISNUMBER(IF(D_I="SI",Datos!I16,Datos!I16+Datos!AC16)),IF(D_I="SI",Datos!I16,Datos!I16+Datos!AC16)," - ")</f>
        <v>285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131</v>
      </c>
      <c r="Z16" s="619">
        <f>IF(ISNUMBER(Datos!Q16),Datos!Q16," - ")</f>
        <v>3</v>
      </c>
      <c r="AA16" s="332">
        <f>IF(ISNUMBER(IF(D_I="SI",Datos!L16,Datos!L16+Datos!AF16)),IF(D_I="SI",Datos!L16,Datos!L16+Datos!AF16)," - ")</f>
        <v>277</v>
      </c>
      <c r="AB16" s="334"/>
      <c r="AC16" s="334"/>
      <c r="AD16" s="484"/>
      <c r="AE16" s="484">
        <f>IF(ISNUMBER(Datos!R16),Datos!R16," - ")</f>
        <v>57</v>
      </c>
      <c r="AF16" s="229" t="str">
        <f>IF(ISNUMBER(Datos!BV16),Datos!BV16," - ")</f>
        <v xml:space="preserve"> - </v>
      </c>
      <c r="AG16" s="225"/>
      <c r="AH16" s="298"/>
      <c r="AI16" s="227"/>
      <c r="AJ16" s="225">
        <f>IF(ISNUMBER(Datos!M16),Datos!M16," - ")</f>
        <v>41</v>
      </c>
      <c r="AK16" s="229">
        <f>IF(ISNUMBER(Datos!N16),Datos!N16," - ")</f>
        <v>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6.3435114503816799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286</v>
      </c>
      <c r="G18" s="898">
        <f>SUBTOTAL(9,G15:G17)</f>
        <v>293</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133</v>
      </c>
      <c r="Z18" s="932">
        <f t="shared" si="5"/>
        <v>3</v>
      </c>
      <c r="AA18" s="932">
        <f t="shared" si="5"/>
        <v>291</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41</v>
      </c>
      <c r="AK18" s="932">
        <f t="shared" si="5"/>
        <v>65</v>
      </c>
      <c r="AL18" s="932">
        <f t="shared" si="5"/>
        <v>0</v>
      </c>
      <c r="AM18" s="932">
        <f t="shared" si="5"/>
        <v>0</v>
      </c>
      <c r="AN18" s="932">
        <f t="shared" si="5"/>
        <v>0</v>
      </c>
      <c r="AO18" s="934">
        <f>IF(ISNUMBER(((NºAsuntos!I18/NºAsuntos!G18)*11)/factor_trimestre),((NºAsuntos!I18/NºAsuntos!G18)*11)/factor_trimestre," - ")</f>
        <v>6.5639097744360901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286</v>
      </c>
      <c r="G19" s="820">
        <f t="shared" si="7"/>
        <v>293</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v>
      </c>
      <c r="Z19" s="827">
        <f t="shared" si="8"/>
        <v>13</v>
      </c>
      <c r="AA19" s="828">
        <f t="shared" si="8"/>
        <v>292</v>
      </c>
      <c r="AB19" s="828">
        <f t="shared" si="8"/>
        <v>0</v>
      </c>
      <c r="AC19" s="828">
        <f t="shared" si="8"/>
        <v>0</v>
      </c>
      <c r="AD19" s="829">
        <f t="shared" si="8"/>
        <v>0</v>
      </c>
      <c r="AE19" s="829">
        <f t="shared" si="8"/>
        <v>743</v>
      </c>
      <c r="AF19" s="830">
        <f t="shared" si="8"/>
        <v>0</v>
      </c>
      <c r="AG19" s="831">
        <f t="shared" si="8"/>
        <v>0</v>
      </c>
      <c r="AH19" s="832">
        <f t="shared" si="8"/>
        <v>0</v>
      </c>
      <c r="AI19" s="830">
        <f t="shared" si="8"/>
        <v>0</v>
      </c>
      <c r="AJ19" s="820">
        <f t="shared" si="8"/>
        <v>72</v>
      </c>
      <c r="AK19" s="820">
        <f t="shared" si="8"/>
        <v>80</v>
      </c>
      <c r="AL19" s="820">
        <f t="shared" si="8"/>
        <v>0</v>
      </c>
      <c r="AM19" s="833">
        <f t="shared" si="8"/>
        <v>0</v>
      </c>
      <c r="AN19" s="823">
        <f>IF(ISNUMBER(Datos!K19/Datos!J19),Datos!K19/Datos!J19," - ")</f>
        <v>1.0738916256157636</v>
      </c>
      <c r="AO19" s="823">
        <f>IF(ISNUMBER(FIND("06",Criterios!A8,1)),(IF(ISNUMBER(((Datos!R19/Datos!Q19)*11)/factor_trimestre),((Datos!R19/Datos!Q19)*11)/factor_trimestre," - ")),(IF(ISNUMBER(((Datos!L19/Datos!K19)*11)/factor_trimestre),((Datos!L19/Datos!K19)*11)/factor_trimestre," - ")))</f>
        <v>10.665137614678899</v>
      </c>
      <c r="AP19" s="834" t="str">
        <f>IF(ISNUMBER(Datos!CI19/Datos!CJ19),Datos!CI19/Datos!CJ19," - ")</f>
        <v xml:space="preserve"> - </v>
      </c>
      <c r="AQ19" s="834">
        <f>IF(OR(ISNUMBER(FIND("01",Criterios!A8,1)),ISNUMBER(FIND("02",Criterios!A8,1)),ISNUMBER(FIND("03",Criterios!A8,1)),ISNUMBER(FIND("04",Criterios!A8,1))),(J19-Y19+K19)/(F19-K19),(I19-Y19+K19)/(F19-K19))</f>
        <v>-0.46503496503496505</v>
      </c>
      <c r="AR19" s="834">
        <f>IF(ISNUMBER((Datos!P19-Datos!Q19+O19)/(Datos!R19-Datos!P19+Datos!Q19-O19)),(Datos!P19-Datos!Q19+O19)/(Datos!R19-Datos!P19+Datos!Q19-O19)," - ")</f>
        <v>1.3642564802182811E-2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165.12217698823295</v>
      </c>
      <c r="G21" s="552">
        <f>IF(ISNUMBER(STDEV(G8:G18)),STDEV(G8:G18),"-")</f>
        <v>156.89072630337333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19.120669444347392</v>
      </c>
      <c r="AK21" s="252"/>
      <c r="AL21" s="252">
        <f>IF(ISNUMBER(STDEV(AL8:AL18)),STDEV(AL8:AL18),"-")</f>
        <v>0</v>
      </c>
      <c r="AM21" s="254">
        <f>IF(ISNUMBER(STDEV(AM8:AM18)),STDEV(AM8:AM18),"-")</f>
        <v>0</v>
      </c>
      <c r="AN21" s="539">
        <f>IF(ISNUMBER(STDEV(AN8:AN18)),STDEV(AN8:AN18),"-")</f>
        <v>0</v>
      </c>
      <c r="AO21" s="540">
        <f>IF(ISNUMBER(STDEV(AO8:AO18)),STDEV(AO8:AO18),"-")</f>
        <v>6.5292807865976465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NaZ8hi4rncyDW5165IzufB2/MkNrQbu3iRhcz5caQDOjxmVxVPjphap5r4zHrlNamTDUQCuLbCJjbHfVRfkkg==" saltValue="X+ySw5w7QkkFV/ipUdDbA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cJajeNNrabbSC5q1hFx0HPiSI8Td6HxPtpC18r+U6bukcUZuAvdHH8Y/diY3NIaI9DE2nJS/YsOleu5TWt/ug==" saltValue="5x/CLUvbY0OLwIpmkmlM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goO81kvAV1HJJALJOE+eHM4qS0d7D2+8Uh0wF8pzXReut2luYgWWStRV/jQmRdetpqP0XKGshKPMaHFXsu61Q==" saltValue="8/drwE3q7arGdxsgAQp6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0.33695652173913043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0.23826424148677144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5grr9LzE5FsgVpeUF71TbG2syqZM4COOpqBo6+QF9R6pkXslMMssDA8I9iK/c1Kn1ZM+81s8mFbrTXwja960lQ==" saltValue="5IFJmAlHFZ8JxTpxsA0v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kC0e09mpiiHNwrMrvSeluVNZJ2d+Yfaw3Ghl+V0KEz8nHvxFfL1y5PRn5cXE2P4ug9rYdEG+KcZHHaH1b2qig==" saltValue="niRzbrn7rnO+AKXpr296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 RIOSECO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511</v>
      </c>
      <c r="D12" s="404">
        <f>IF(ISNUMBER(C12/Datos!BH12),C12/Datos!BH12," - ")</f>
        <v>511</v>
      </c>
      <c r="E12" s="403">
        <f>IF(ISNUMBER(IF(J_V="SI",Datos!J12,Datos!J12+Datos!Z12)),IF(J_V="SI",Datos!J12,Datos!J12+Datos!Z12)," - ")</f>
        <v>77</v>
      </c>
      <c r="F12" s="404">
        <f>IF(ISNUMBER(E12/B12),E12/B12," - ")</f>
        <v>77</v>
      </c>
      <c r="G12" s="403">
        <f>IF(ISNUMBER(IF(J_V="SI",Datos!K12,Datos!K12+Datos!AA12)),IF(J_V="SI",Datos!K12,Datos!K12+Datos!AA12)," - ")</f>
        <v>92</v>
      </c>
      <c r="H12" s="404">
        <f>IF(ISNUMBER(G12/B12),G12/B12," - ")</f>
        <v>92</v>
      </c>
      <c r="I12" s="403">
        <f>IF(ISNUMBER(IF(J_V="SI",Datos!L12,Datos!L12+Datos!AB12)),IF(J_V="SI",Datos!L12,Datos!L12+Datos!AB12)," - ")</f>
        <v>498</v>
      </c>
      <c r="J12" s="404">
        <f>IF(ISNUMBER(I12/B12),I12/B12," - ")</f>
        <v>498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511</v>
      </c>
      <c r="D13" s="850" t="str">
        <f>IF(ISNUMBER(C13/Datos!BI13),C13/Datos!BI13," - ")</f>
        <v xml:space="preserve"> - </v>
      </c>
      <c r="E13" s="849">
        <f>SUBTOTAL(9,E8:E12)</f>
        <v>78</v>
      </c>
      <c r="F13" s="850">
        <f>IF(ISNUMBER(E13/B13),E13/B13," - ")</f>
        <v>78</v>
      </c>
      <c r="G13" s="849">
        <f>SUBTOTAL(9,G8:G12)</f>
        <v>92</v>
      </c>
      <c r="H13" s="850">
        <f>IF(ISNUMBER(G13/B13),G13/B13," - ")</f>
        <v>92</v>
      </c>
      <c r="I13" s="849">
        <f>SUBTOTAL(9,I8:I12)</f>
        <v>499</v>
      </c>
      <c r="J13" s="850">
        <f>IF(ISNUMBER(I13/B13),I13/B13," - ")</f>
        <v>499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285</v>
      </c>
      <c r="D16" s="404">
        <f>IF(ISNUMBER(C16/Datos!BH16),C16/Datos!BH16," - ")</f>
        <v>285</v>
      </c>
      <c r="E16" s="403">
        <f>IF(ISNUMBER(IF(D_I="SI",Datos!J16,Datos!J16+Datos!AD16)),IF(D_I="SI",Datos!J16,Datos!J16+Datos!AD16)," - ")</f>
        <v>122</v>
      </c>
      <c r="F16" s="404">
        <f>IF(ISNUMBER(E16/B16),E16/B16," - ")</f>
        <v>122</v>
      </c>
      <c r="G16" s="403">
        <f>IF(ISNUMBER(IF(D_I="SI",Datos!K16,Datos!K16+Datos!AE16)),IF(D_I="SI",Datos!K16,Datos!K16+Datos!AE16)," - ")</f>
        <v>131</v>
      </c>
      <c r="H16" s="404">
        <f>IF(ISNUMBER(G16/B16),G16/B16," - ")</f>
        <v>131</v>
      </c>
      <c r="I16" s="403">
        <f>IF(ISNUMBER(IF(D_I="SI",Datos!L16,Datos!L16+Datos!AF16)),IF(D_I="SI",Datos!L16,Datos!L16+Datos!AF16)," - ")</f>
        <v>277</v>
      </c>
      <c r="J16" s="404">
        <f>IF(ISNUMBER(I16/B16),I16/B16," - ")</f>
        <v>277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8</v>
      </c>
      <c r="F17" s="404">
        <f>IF(ISNUMBER(E17/B17),E17/B17," - ")</f>
        <v>8</v>
      </c>
      <c r="G17" s="403">
        <f>IF(ISNUMBER(IF(D_I="SI",Datos!K17,Datos!K17+Datos!AE17)),IF(D_I="SI",Datos!K17,Datos!K17+Datos!AE17)," - ")</f>
        <v>2</v>
      </c>
      <c r="H17" s="404">
        <f>IF(ISNUMBER(G17/B17),G17/B17," - ")</f>
        <v>2</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293</v>
      </c>
      <c r="D18" s="850" t="str">
        <f>IF(ISNUMBER(C18/Datos!BI18),C18/Datos!BI18," - ")</f>
        <v xml:space="preserve"> - </v>
      </c>
      <c r="E18" s="849">
        <f>SUBTOTAL(9,E14:E17)</f>
        <v>130</v>
      </c>
      <c r="F18" s="850">
        <f>IF(ISNUMBER(E18/B18),E18/B18," - ")</f>
        <v>130</v>
      </c>
      <c r="G18" s="849">
        <f>SUBTOTAL(9,G14:G17)</f>
        <v>133</v>
      </c>
      <c r="H18" s="850">
        <f>IF(ISNUMBER(G18/B18),G18/B18," - ")</f>
        <v>133</v>
      </c>
      <c r="I18" s="849">
        <f>SUBTOTAL(9,I14:I17)</f>
        <v>291</v>
      </c>
      <c r="J18" s="850">
        <f>IF(ISNUMBER(I18/B18),I18/B18," - ")</f>
        <v>291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804</v>
      </c>
      <c r="D19" s="795" t="str">
        <f>IF(ISNUMBER(C19/Datos!BI19),C19/Datos!BI19," - ")</f>
        <v xml:space="preserve"> - </v>
      </c>
      <c r="E19" s="794">
        <f>SUBTOTAL(9,E9:E18)</f>
        <v>208</v>
      </c>
      <c r="F19" s="795">
        <f>IF(ISNUMBER(E19/B19),E19/B19," - ")</f>
        <v>208</v>
      </c>
      <c r="G19" s="794">
        <f>SUBTOTAL(9,G9:G18)</f>
        <v>225</v>
      </c>
      <c r="H19" s="795">
        <f>IF(ISNUMBER(G19/B19),G19/B19," - ")</f>
        <v>225</v>
      </c>
      <c r="I19" s="794">
        <f>SUBTOTAL(9,I9:I18)</f>
        <v>790</v>
      </c>
      <c r="J19" s="795">
        <f>IF(ISNUMBER(I19/B19),I19/B19," - ")</f>
        <v>790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JMLUfR3SPt5vrszkQzUEeny7WX3A5kfdPiwcXJQv/j1pzFxPlwpmcAxEUAo3WG07qgsI5bXvSiQMWBdbwup/9Q==" saltValue="XmFnQ6tMsbJyyIPt0zRZ0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 RIOSECO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16.239130434782609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8.8235294117647058E-3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1</v>
      </c>
      <c r="AG13" s="939">
        <f t="shared" si="1"/>
        <v>0</v>
      </c>
      <c r="AH13" s="939">
        <f t="shared" si="1"/>
        <v>686</v>
      </c>
      <c r="AI13" s="939">
        <f t="shared" si="1"/>
        <v>0</v>
      </c>
      <c r="AJ13" s="939">
        <f t="shared" si="1"/>
        <v>0</v>
      </c>
      <c r="AK13" s="939">
        <f t="shared" si="1"/>
        <v>0</v>
      </c>
      <c r="AL13" s="939">
        <f t="shared" si="1"/>
        <v>31</v>
      </c>
      <c r="AM13" s="939">
        <f t="shared" si="1"/>
        <v>15</v>
      </c>
      <c r="AN13" s="939">
        <f t="shared" si="1"/>
        <v>0</v>
      </c>
      <c r="AO13" s="939">
        <f t="shared" si="1"/>
        <v>0</v>
      </c>
      <c r="AP13" s="944">
        <f>IF(ISNUMBER(((Datos!L13/Datos!K13)*11)/factor_trimestre),((Datos!L13/Datos!K13)*11)/factor_trimestre," - ")</f>
        <v>17.082352941176474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8.8235294117647058E-3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6.5639097744360901</v>
      </c>
      <c r="AQ18" s="944">
        <f>IF(ISNUMBER(((Datos!M18/Datos!L18)*11)/factor_trimestre),((Datos!M18/Datos!L18)*11)/factor_trimestre," - ")</f>
        <v>0.42268041237113407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7.5471698113207544E-2</v>
      </c>
      <c r="AW18" s="946">
        <f>IF(ISNUMBER((Datos!Q18-Datos!R18)/(Datos!S18-Datos!Q18+Datos!R18)),(Datos!Q18-Datos!R18)/(Datos!S18-Datos!Q18+Datos!R18)," - ")</f>
        <v>-0.2125984251968504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1</v>
      </c>
      <c r="AG19" s="958">
        <f t="shared" si="5"/>
        <v>0</v>
      </c>
      <c r="AH19" s="958">
        <f t="shared" si="5"/>
        <v>686</v>
      </c>
      <c r="AI19" s="958">
        <f t="shared" si="5"/>
        <v>0</v>
      </c>
      <c r="AJ19" s="959">
        <f t="shared" si="5"/>
        <v>0</v>
      </c>
      <c r="AK19" s="959">
        <f t="shared" si="5"/>
        <v>0</v>
      </c>
      <c r="AL19" s="951">
        <f t="shared" si="5"/>
        <v>31</v>
      </c>
      <c r="AM19" s="951">
        <f t="shared" si="5"/>
        <v>15</v>
      </c>
      <c r="AN19" s="951">
        <f t="shared" si="5"/>
        <v>0</v>
      </c>
      <c r="AO19" s="951">
        <f t="shared" si="5"/>
        <v>0</v>
      </c>
      <c r="AP19" s="951">
        <f>IF(ISNUMBER(((Datos!L19/Datos!K19)*11)/factor_trimestre),((Datos!L19/Datos!K19)*11)/factor_trimestre," - ")</f>
        <v>10.665137614678899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1.3642564802182811E-2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17.897858344878397</v>
      </c>
      <c r="AM21" s="736"/>
      <c r="AN21" s="736">
        <f>IF(ISNUMBER(STDEV(AN8:AN18)),STDEV(AN8:AN18),"-")</f>
        <v>0</v>
      </c>
      <c r="AO21" s="742">
        <f>IF(ISNUMBER(STDEV(AO8:AO18)),STDEV(AO8:AO18),"-")</f>
        <v>0</v>
      </c>
      <c r="AP21" s="779">
        <f>IF(ISNUMBER(STDEV(AP8:AP18)),STDEV(AP8:AP18),"-")</f>
        <v>5.8446352277627556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6mlL6eMlSFyyZrL0npu+pYTtvrl+QG1mgQY+KLQdNsPYDdkl7xZDu1MaSnoQtGt/pEzfjjnLwmQcWMvgfrMZDg==" saltValue="EdwsOL0Ig6rPXMFdckRM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 RIOSECO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3K5AvTE7kw/cgK+Zg2Z3iRlUtb3LTbUAHUANDWMkl8Xuw6Q2weqVg93JbvlaSWdghJF/wzjG8O5AWzQ3PUJag==" saltValue="Pp1LzQH7BOPNj1IcV0Fg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 RIOSECO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15</v>
      </c>
      <c r="G12" s="404">
        <f t="shared" si="1"/>
        <v>15</v>
      </c>
      <c r="H12" s="403">
        <f>IF(ISNUMBER(Datos!O12),Datos!O12," - ")</f>
        <v>57</v>
      </c>
      <c r="I12" s="404">
        <f t="shared" si="2"/>
        <v>57</v>
      </c>
      <c r="BZ12" s="1186">
        <f>Datos!EZ12</f>
        <v>0</v>
      </c>
    </row>
    <row r="13" spans="1:78" ht="14.25" thickTop="1" thickBot="1">
      <c r="A13" s="848" t="str">
        <f>Datos!A13</f>
        <v>TOTAL</v>
      </c>
      <c r="B13" s="849">
        <f>Datos!AP13</f>
        <v>1</v>
      </c>
      <c r="C13" s="851">
        <f>Datos!AR13</f>
        <v>1</v>
      </c>
      <c r="D13" s="849">
        <f>SUBTOTAL(9,D9:D12)</f>
        <v>31</v>
      </c>
      <c r="E13" s="850">
        <f t="shared" si="0"/>
        <v>31</v>
      </c>
      <c r="F13" s="849">
        <f>SUBTOTAL(9,F9:F12)</f>
        <v>15</v>
      </c>
      <c r="G13" s="850">
        <f t="shared" si="1"/>
        <v>15</v>
      </c>
      <c r="H13" s="849">
        <f>SUBTOTAL(9,H9:H12)</f>
        <v>57</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58</v>
      </c>
      <c r="G16" s="404">
        <f t="shared" si="4"/>
        <v>58</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41</v>
      </c>
      <c r="E18" s="850">
        <f t="shared" si="3"/>
        <v>41</v>
      </c>
      <c r="F18" s="849">
        <f>SUBTOTAL(9,F15:F17)</f>
        <v>65</v>
      </c>
      <c r="G18" s="850">
        <f t="shared" si="4"/>
        <v>65</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72</v>
      </c>
      <c r="E19" s="795">
        <f>IF(ISNUMBER(D19/B19),D19/B19," - ")</f>
        <v>72</v>
      </c>
      <c r="F19" s="794">
        <f>SUBTOTAL(9,F8:F18)</f>
        <v>80</v>
      </c>
      <c r="G19" s="795">
        <f>IF(ISNUMBER(F19/B19),F19/B19," - ")</f>
        <v>80</v>
      </c>
      <c r="H19" s="794">
        <f>SUBTOTAL(9,H8:H18)</f>
        <v>60</v>
      </c>
      <c r="I19" s="795">
        <f>IF(ISNUMBER(H19/B19),H19/B19," - ")</f>
        <v>60</v>
      </c>
    </row>
    <row r="22" spans="1:78">
      <c r="A22" s="391" t="str">
        <f>Criterios!A4</f>
        <v>Fecha Informe: 24 sep. 2024</v>
      </c>
    </row>
    <row r="27" spans="1:78">
      <c r="A27" s="414"/>
    </row>
  </sheetData>
  <sheetProtection algorithmName="SHA-512" hashValue="COZMJ0GW4+6v+G6hAAPz0Gtn6o0I0xJFDNzSEQddwBTW71Bk/CinoROUyhXWcCyvnSnom73HkChSxVr2pxwypQ==" saltValue="FH0/itkvJTNm+7RjsdEr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 RIOSECO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10</v>
      </c>
      <c r="D12" s="408">
        <f>IF(ISNUMBER(Datos!R12),Datos!R12," - ")</f>
        <v>686</v>
      </c>
    </row>
    <row r="13" spans="1:4" ht="14.25" thickTop="1" thickBot="1">
      <c r="A13" s="848" t="str">
        <f>Datos!A13</f>
        <v>TOTAL</v>
      </c>
      <c r="B13" s="849">
        <f>SUBTOTAL(9,B9:B12)</f>
        <v>16</v>
      </c>
      <c r="C13" s="853">
        <f>SUBTOTAL(9,C9:C12)</f>
        <v>10</v>
      </c>
      <c r="D13" s="851">
        <f>SUBTOTAL(9,D9:D12)</f>
        <v>686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3</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3</v>
      </c>
      <c r="D18" s="851">
        <f>SUBTOTAL(9,D15:D17)</f>
        <v>57</v>
      </c>
    </row>
    <row r="19" spans="1:4" ht="16.5" customHeight="1" thickTop="1" thickBot="1">
      <c r="A19" s="793" t="str">
        <f>Datos!A19</f>
        <v>TOTAL JURISDICCIONES</v>
      </c>
      <c r="B19" s="798">
        <f>SUBTOTAL(9,B8:B18)</f>
        <v>23</v>
      </c>
      <c r="C19" s="799">
        <f>SUBTOTAL(9,C8:C18)</f>
        <v>13</v>
      </c>
      <c r="D19" s="800">
        <f>SUBTOTAL(9,D8:D18)</f>
        <v>743</v>
      </c>
    </row>
    <row r="20" spans="1:4" ht="7.5" customHeight="1"/>
    <row r="21" spans="1:4" ht="6" customHeight="1"/>
    <row r="22" spans="1:4">
      <c r="A22" s="391" t="str">
        <f>Criterios!A4</f>
        <v>Fecha Informe: 24 sep. 2024</v>
      </c>
    </row>
    <row r="27" spans="1:4">
      <c r="A27" s="414"/>
    </row>
  </sheetData>
  <sheetProtection algorithmName="SHA-512" hashValue="PcXHcHGqhYHVuSv0uYY60Vz9V8V5LRKsWmYpbs39LGY1TMyFe4ybttW4iuPKcV1k6msyp44L87zwNOLDJApwYQ==" saltValue="bWhr3ZDQq3mQQ2EzoVp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 RIOSECO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0.70903010033444813</v>
      </c>
      <c r="C12" s="456">
        <f>IF(ISNUMBER(
   IF(J_V="SI",(Datos!J12-Datos!T12)/Datos!T12,(Datos!J12+Datos!Z12-(Datos!T12+Datos!AH12))/(Datos!T12+Datos!AH12))
     ),IF(J_V="SI",(Datos!J12-Datos!T12)/Datos!T12,(Datos!J12+Datos!Z12-(Datos!T12+Datos!AH12))/(Datos!T12+Datos!AH12))," - ")</f>
        <v>-0.37398373983739835</v>
      </c>
      <c r="D12" s="456">
        <f>IF(ISNUMBER(
   IF(J_V="SI",(Datos!K12-Datos!U12)/Datos!U12,(Datos!K12+Datos!AA12-(Datos!U12+Datos!AI12))/(Datos!U12+Datos!AI12))
     ),IF(J_V="SI",(Datos!K12-Datos!U12)/Datos!U12,(Datos!K12+Datos!AA12-(Datos!U12+Datos!AI12))/(Datos!U12+Datos!AI12))," - ")</f>
        <v>0.33333333333333331</v>
      </c>
      <c r="E12" s="456">
        <f>IF(ISNUMBER(
   IF(J_V="SI",(Datos!L12-Datos!V12)/Datos!V12,(Datos!L12+Datos!AB12-(Datos!V12+Datos!AJ12))/(Datos!V12+Datos!AJ12))
     ),IF(J_V="SI",(Datos!L12-Datos!V12)/Datos!V12,(Datos!L12+Datos!AB12-(Datos!V12+Datos!AJ12))/(Datos!V12+Datos!AJ12))," - ")</f>
        <v>0.41076487252124644</v>
      </c>
      <c r="F12" s="456">
        <f>IF(ISNUMBER((Datos!M12-Datos!W12)/Datos!W12),(Datos!M12-Datos!W12)/Datos!W12," - ")</f>
        <v>0.47619047619047616</v>
      </c>
      <c r="G12" s="457">
        <f>IF(ISNUMBER((Datos!N12-Datos!X12)/Datos!X12),(Datos!N12-Datos!X12)/Datos!X12," - ")</f>
        <v>-0.375</v>
      </c>
      <c r="H12" s="455">
        <f>IF(ISNUMBER(((NºAsuntos!G12/NºAsuntos!E12)-Datos!BD12)/Datos!BD12),((NºAsuntos!G12/NºAsuntos!E12)-Datos!BD12)/Datos!BD12," - ")</f>
        <v>1.1298701298701297</v>
      </c>
      <c r="I12" s="456">
        <f>IF(ISNUMBER(((NºAsuntos!I12/NºAsuntos!G12)-Datos!BE12)/Datos!BE12),((NºAsuntos!I12/NºAsuntos!G12)-Datos!BE12)/Datos!BE12," - ")</f>
        <v>5.8073654390934849E-2</v>
      </c>
      <c r="J12" s="461">
        <f>IF(ISNUMBER((('Resol  Asuntos'!D12/NºAsuntos!G12)-Datos!BF12)/Datos!BF12),(('Resol  Asuntos'!D12/NºAsuntos!G12)-Datos!BF12)/Datos!BF12," - ")</f>
        <v>-3.1249999999999979E-2</v>
      </c>
      <c r="K12" s="462">
        <f>IF(ISNUMBER((((NºAsuntos!C12+NºAsuntos!E12)/NºAsuntos!G12)-Datos!BG12)/Datos!BG12),(((NºAsuntos!C12+NºAsuntos!E12)/NºAsuntos!G12)-Datos!BG12)/Datos!BG12," - ")</f>
        <v>4.502369668246451E-2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0.70903010033444813</v>
      </c>
      <c r="C13" s="855">
        <f>IF(ISNUMBER(
   IF(J_V="SI",(Datos!J13-Datos!T13)/Datos!T13,(Datos!J13+Datos!Z13-(Datos!T13+Datos!AH13))/(Datos!T13+Datos!AH13))
     ),IF(J_V="SI",(Datos!J13-Datos!T13)/Datos!T13,(Datos!J13+Datos!Z13-(Datos!T13+Datos!AH13))/(Datos!T13+Datos!AH13))," - ")</f>
        <v>-0.36585365853658536</v>
      </c>
      <c r="D13" s="855">
        <f>IF(ISNUMBER(
   IF(J_V="SI",(Datos!K13-Datos!U13)/Datos!U13,(Datos!K13+Datos!AA13-(Datos!U13+Datos!AI13))/(Datos!U13+Datos!AI13))
     ),IF(J_V="SI",(Datos!K13-Datos!U13)/Datos!U13,(Datos!K13+Datos!AA13-(Datos!U13+Datos!AI13))/(Datos!U13+Datos!AI13))," - ")</f>
        <v>0.33333333333333331</v>
      </c>
      <c r="E13" s="855">
        <f>IF(ISNUMBER(
   IF(J_V="SI",(Datos!L13-Datos!V13)/Datos!V13,(Datos!L13+Datos!AB13-(Datos!V13+Datos!AJ13))/(Datos!V13+Datos!AJ13))
     ),IF(J_V="SI",(Datos!L13-Datos!V13)/Datos!V13,(Datos!L13+Datos!AB13-(Datos!V13+Datos!AJ13))/(Datos!V13+Datos!AJ13))," - ")</f>
        <v>0.41359773371104813</v>
      </c>
      <c r="F13" s="856">
        <f>IF(ISNUMBER((Datos!M13-Datos!W13)/Datos!W13),(Datos!M13-Datos!W13)/Datos!W13," - ")</f>
        <v>0.47619047619047616</v>
      </c>
      <c r="G13" s="857">
        <f>IF(ISNUMBER((Datos!N13-Datos!X13)/Datos!X13),(Datos!N13-Datos!X13)/Datos!X13," - ")</f>
        <v>-0.375</v>
      </c>
      <c r="H13" s="857">
        <f>IF(ISNUMBER(((NºAsuntos!G13/NºAsuntos!E13)-Datos!BD13)/Datos!BD13),((NºAsuntos!G13/NºAsuntos!E13)-Datos!BD13)/Datos!BD13," - ")</f>
        <v>1.1025641025641024</v>
      </c>
      <c r="I13" s="857">
        <f>IF(ISNUMBER(((NºAsuntos!I13/NºAsuntos!G13)-Datos!BE13)/Datos!BE13),((NºAsuntos!I13/NºAsuntos!G13)-Datos!BE13)/Datos!BE13," - ")</f>
        <v>6.0198300283286175E-2</v>
      </c>
      <c r="J13" s="857">
        <f>IF(ISNUMBER((('Resol  Asuntos'!D13/NºAsuntos!G13)-Datos!BF13)/Datos!BF13),(('Resol  Asuntos'!D13/NºAsuntos!G13)-Datos!BF13)/Datos!BF13," - ")</f>
        <v>-3.1249999999999979E-2</v>
      </c>
      <c r="K13" s="857">
        <f>IF(ISNUMBER((((NºAsuntos!C13+NºAsuntos!E13)/NºAsuntos!G13)-Datos!BG13)/Datos!BG13),(((NºAsuntos!C13+NºAsuntos!E13)/NºAsuntos!G13)-Datos!BG13)/Datos!BG13," - ")</f>
        <v>4.680094786729868E-2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0.43216080402010049</v>
      </c>
      <c r="C16" s="456">
        <f>IF(ISNUMBER(
   IF(D_I="SI",(Datos!J16-Datos!T16)/Datos!T16,(Datos!J16+Datos!AD16-(Datos!T16+Datos!AL16))/(Datos!T16+Datos!AL16))
     ),IF(D_I="SI",(Datos!J16-Datos!T16)/Datos!T16,(Datos!J16+Datos!AD16-(Datos!T16+Datos!AL16))/(Datos!T16+Datos!AL16))," - ")</f>
        <v>-7.575757575757576E-2</v>
      </c>
      <c r="D16" s="456">
        <f>IF(ISNUMBER(
   IF(D_I="SI",(Datos!K16-Datos!U16)/Datos!U16,(Datos!K16+Datos!AE16-(Datos!U16+Datos!AM16))/(Datos!U16+Datos!AM16))
     ),IF(D_I="SI",(Datos!K16-Datos!U16)/Datos!U16,(Datos!K16+Datos!AE16-(Datos!U16+Datos!AM16))/(Datos!U16+Datos!AM16))," - ")</f>
        <v>0.81944444444444442</v>
      </c>
      <c r="E16" s="456">
        <f>IF(ISNUMBER(
   IF(D_I="SI",(Datos!L16-Datos!V16)/Datos!V16,(Datos!L16+Datos!AF16-(Datos!V16+Datos!AN16))/(Datos!V16+Datos!AN16))
     ),IF(D_I="SI",(Datos!L16-Datos!V16)/Datos!V16,(Datos!L16+Datos!AF16-(Datos!V16+Datos!AN16))/(Datos!V16+Datos!AN16))," - ")</f>
        <v>6.9498069498069498E-2</v>
      </c>
      <c r="F16" s="456">
        <f>IF(ISNUMBER((Datos!M16-Datos!W16)/Datos!W16),(Datos!M16-Datos!W16)/Datos!W16," - ")</f>
        <v>5.833333333333333</v>
      </c>
      <c r="G16" s="457">
        <f>IF(ISNUMBER((Datos!N16-Datos!X16)/Datos!X16),(Datos!N16-Datos!X16)/Datos!X16," - ")</f>
        <v>1</v>
      </c>
      <c r="H16" s="455">
        <f>IF(ISNUMBER(((NºAsuntos!G16/NºAsuntos!E16)-Datos!BD16)/Datos!BD16),((NºAsuntos!G16/NºAsuntos!E16)-Datos!BD16)/Datos!BD16," - ")</f>
        <v>0.96857923497267773</v>
      </c>
      <c r="I16" s="456">
        <f>IF(ISNUMBER(((NºAsuntos!I16/NºAsuntos!G16)-Datos!BE16)/Datos!BE16),((NºAsuntos!I16/NºAsuntos!G16)-Datos!BE16)/Datos!BE16," - ")</f>
        <v>-0.41218426714609924</v>
      </c>
      <c r="J16" s="461">
        <f>IF(ISNUMBER((('Resol  Asuntos'!D16/NºAsuntos!G16)-Datos!BF16)/Datos!BF16),(('Resol  Asuntos'!D16/NºAsuntos!G16)-Datos!BF16)/Datos!BF16," - ")</f>
        <v>2.7557251908396951</v>
      </c>
      <c r="K16" s="462">
        <f>IF(ISNUMBER((((NºAsuntos!C16+NºAsuntos!E16)/NºAsuntos!G16)-Datos!BG16)/Datos!BG16),(((NºAsuntos!C16+NºAsuntos!E16)/NºAsuntos!G16)-Datos!BG16)/Datos!BG16," - ")</f>
        <v>-0.32418532782915527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v>
      </c>
      <c r="C17" s="456">
        <f>IF(ISNUMBER(
   IF(D_I="SI",(Datos!J17-Datos!T17)/Datos!T17,(Datos!J17+Datos!AD17-(Datos!T17+Datos!AL17))/(Datos!T17+Datos!AL17))
     ),IF(D_I="SI",(Datos!J17-Datos!T17)/Datos!T17,(Datos!J17+Datos!AD17-(Datos!T17+Datos!AL17))/(Datos!T17+Datos!AL17))," - ")</f>
        <v>1.6666666666666667</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13</v>
      </c>
      <c r="F17" s="456" t="str">
        <f>IF(ISNUMBER((Datos!M17-Datos!W17)/Datos!W17),(Datos!M17-Datos!W17)/Datos!W17," - ")</f>
        <v xml:space="preserve"> - </v>
      </c>
      <c r="G17" s="457">
        <f>IF(ISNUMBER((Datos!N17-Datos!X17)/Datos!X17),(Datos!N17-Datos!X17)/Datos!X17," - ")</f>
        <v>1.3333333333333333</v>
      </c>
      <c r="H17" s="455">
        <f>IF(ISNUMBER(((NºAsuntos!G17/NºAsuntos!E17)-Datos!BD17)/Datos!BD17),((NºAsuntos!G17/NºAsuntos!E17)-Datos!BD17)/Datos!BD17," - ")</f>
        <v>-0.75</v>
      </c>
      <c r="I17" s="456">
        <f>IF(ISNUMBER(((NºAsuntos!I17/NºAsuntos!G17)-Datos!BE17)/Datos!BE17),((NºAsuntos!I17/NºAsuntos!G17)-Datos!BE17)/Datos!BE17," - ")</f>
        <v>20.000000000000004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5.0000000000000009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0.46500000000000002</v>
      </c>
      <c r="C18" s="855">
        <f>IF(ISNUMBER(
   IF(Criterios!B14="SI",(Datos!J18-Datos!T18)/Datos!T18,(Datos!J18+Datos!AD18-(Datos!T18+Datos!AL18))/(Datos!T18+Datos!AL18))
     ),IF(Criterios!B14="SI",(Datos!J18-Datos!T18)/Datos!T18,(Datos!J18+Datos!AD18-(Datos!T18+Datos!AL18))/(Datos!T18+Datos!AL18))," - ")</f>
        <v>-3.7037037037037035E-2</v>
      </c>
      <c r="D18" s="855">
        <f>IF(ISNUMBER(
   IF(Criterios!B14="SI",(Datos!K18-Datos!U18)/Datos!U18,(Datos!K18+Datos!AE18-(Datos!U18+Datos!AM18))/(Datos!U18+Datos!AM18))
     ),IF(Criterios!B14="SI",(Datos!K18-Datos!U18)/Datos!U18,(Datos!K18+Datos!AE18-(Datos!U18+Datos!AM18))/(Datos!U18+Datos!AM18))," - ")</f>
        <v>0.77333333333333332</v>
      </c>
      <c r="E18" s="855">
        <f>IF(ISNUMBER(
   IF(Criterios!B14="SI",(Datos!L18-Datos!V18)/Datos!V18,(Datos!L18+Datos!AF18-(Datos!V18+Datos!AN18))/(Datos!V18+Datos!AN18))
     ),IF(Criterios!B14="SI",(Datos!L18-Datos!V18)/Datos!V18,(Datos!L18+Datos!AF18-(Datos!V18+Datos!AN18))/(Datos!V18+Datos!AN18))," - ")</f>
        <v>0.11923076923076924</v>
      </c>
      <c r="F18" s="856">
        <f>IF(ISNUMBER((Datos!M18-Datos!W18)/Datos!W18),(Datos!M18-Datos!W18)/Datos!W18," - ")</f>
        <v>5.833333333333333</v>
      </c>
      <c r="G18" s="857">
        <f>IF(ISNUMBER((Datos!N18-Datos!X18)/Datos!X18),(Datos!N18-Datos!X18)/Datos!X18," - ")</f>
        <v>1.03125</v>
      </c>
      <c r="H18" s="857">
        <f>IF(ISNUMBER(((NºAsuntos!G18/NºAsuntos!E18)-Datos!BD18)/Datos!BD18),((NºAsuntos!G18/NºAsuntos!E18)-Datos!BD18)/Datos!BD18," - ")</f>
        <v>0.84153846153846135</v>
      </c>
      <c r="I18" s="857">
        <f>IF(ISNUMBER(((NºAsuntos!I18/NºAsuntos!G18)-Datos!BE18)/Datos!BE18),((NºAsuntos!I18/NºAsuntos!G18)-Datos!BE18)/Datos!BE18," - ")</f>
        <v>-0.36885482938114522</v>
      </c>
      <c r="J18" s="857">
        <f>IF(ISNUMBER((('Resol  Asuntos'!D18/NºAsuntos!G18)-Datos!BF18)/Datos!BF18),(('Resol  Asuntos'!D18/NºAsuntos!G18)-Datos!BF18)/Datos!BF18," - ")</f>
        <v>2.8533834586466162</v>
      </c>
      <c r="K18" s="857">
        <f>IF(ISNUMBER((((NºAsuntos!C18+NºAsuntos!E18)/NºAsuntos!G18)-Datos!BG18)/Datos!BG18),(((NºAsuntos!C18+NºAsuntos!E18)/NºAsuntos!G18)-Datos!BG18)/Datos!BG18," - ")</f>
        <v>-0.28795870272696666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0.6112224448897795</v>
      </c>
      <c r="C19" s="802">
        <f>IF(ISNUMBER(
   IF(J_V="SI",(Datos!J19-Datos!T19)/Datos!T19,(Datos!J19+Datos!Z19-(Datos!T19+Datos!AH19))/(Datos!T19+Datos!AH19))
     ),IF(J_V="SI",(Datos!J19-Datos!T19)/Datos!T19,(Datos!J19+Datos!Z19-(Datos!T19+Datos!AH19))/(Datos!T19+Datos!AH19))," - ")</f>
        <v>-0.19379844961240311</v>
      </c>
      <c r="D19" s="802">
        <f>IF(ISNUMBER(
   IF(J_V="SI",(Datos!K19-Datos!U19)/Datos!U19,(Datos!K19+Datos!AA19-(Datos!U19+Datos!AI19))/(Datos!U19+Datos!AI19))
     ),IF(J_V="SI",(Datos!K19-Datos!U19)/Datos!U19,(Datos!K19+Datos!AA19-(Datos!U19+Datos!AI19))/(Datos!U19+Datos!AI19))," - ")</f>
        <v>0.5625</v>
      </c>
      <c r="E19" s="802">
        <f>IF(ISNUMBER(
   IF(J_V="SI",(Datos!L19-Datos!V19)/Datos!V19,(Datos!L19+Datos!AB19-(Datos!V19+Datos!AJ19))/(Datos!V19+Datos!AJ19))
     ),IF(J_V="SI",(Datos!L19-Datos!V19)/Datos!V19,(Datos!L19+Datos!AB19-(Datos!V19+Datos!AJ19))/(Datos!V19+Datos!AJ19))," - ")</f>
        <v>0.28874388254486133</v>
      </c>
      <c r="F19" s="803">
        <f>IF(ISNUMBER((Datos!M19-Datos!W19)/Datos!W19),(Datos!M19-Datos!W19)/Datos!W19," - ")</f>
        <v>1.6666666666666667</v>
      </c>
      <c r="G19" s="804">
        <f>IF(ISNUMBER((Datos!N19-Datos!X19)/Datos!X19),(Datos!N19-Datos!X19)/Datos!X19," - ")</f>
        <v>0.42857142857142855</v>
      </c>
      <c r="H19" s="805">
        <f>IF(ISNUMBER((Tasas!B19-Datos!BD19)/Datos!BD19),(Tasas!B19-Datos!BD19)/Datos!BD19," - ")</f>
        <v>0.93810096153846145</v>
      </c>
      <c r="I19" s="806">
        <f>IF(ISNUMBER((Tasas!C19-Datos!BE19)/Datos!BE19),(Tasas!C19-Datos!BE19)/Datos!BE19," - ")</f>
        <v>-0.1752039151712888</v>
      </c>
      <c r="J19" s="807">
        <f>IF(ISNUMBER((Tasas!D19-Datos!BF19)/Datos!BF19),(Tasas!D19-Datos!BF19)/Datos!BF19," - ")</f>
        <v>0.53599999999999992</v>
      </c>
      <c r="K19" s="807">
        <f>IF(ISNUMBER((Tasas!E19-Datos!BG19)/Datos!BG19),(Tasas!E19-Datos!BG19)/Datos!BG19," - ")</f>
        <v>-0.14441215323645981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gAeqzDfegxPPU27mIZLYFiFm2olgwy4b/+V/7RvWtmyJSHQuo7N6tc0X/+ygRIum8UuAvOxPPjuXIM4wvPkww==" saltValue="/csTupqc59ISFgPGveIE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 RIOSECO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1.1948051948051948</v>
      </c>
      <c r="C12" s="443">
        <f>IF(ISNUMBER(NºAsuntos!I12/NºAsuntos!G12),NºAsuntos!I12/NºAsuntos!G12," - ")</f>
        <v>5.4130434782608692</v>
      </c>
      <c r="D12" s="444">
        <f>IF(ISNUMBER('Resol  Asuntos'!D12/NºAsuntos!G12),'Resol  Asuntos'!D12/NºAsuntos!G12," - ")</f>
        <v>0.33695652173913043</v>
      </c>
      <c r="E12" s="445">
        <f>IF(ISNUMBER((NºAsuntos!C12+NºAsuntos!E12)/NºAsuntos!G12),(NºAsuntos!C12+NºAsuntos!E12)/NºAsuntos!G12," - ")</f>
        <v>6.3913043478260869</v>
      </c>
      <c r="G12" s="463"/>
    </row>
    <row r="13" spans="1:7" ht="14.25" thickTop="1" thickBot="1">
      <c r="A13" s="848" t="str">
        <f>Datos!A13</f>
        <v>TOTAL</v>
      </c>
      <c r="B13" s="858">
        <f>IF(ISNUMBER(NºAsuntos!G13/NºAsuntos!E13),NºAsuntos!G13/NºAsuntos!E13," - ")</f>
        <v>1.1794871794871795</v>
      </c>
      <c r="C13" s="859">
        <f>IF(ISNUMBER(NºAsuntos!I13/NºAsuntos!G13),NºAsuntos!I13/NºAsuntos!G13," - ")</f>
        <v>5.4239130434782608</v>
      </c>
      <c r="D13" s="860">
        <f>IF(ISNUMBER('Resol  Asuntos'!D13/NºAsuntos!G13),'Resol  Asuntos'!D13/NºAsuntos!G13," - ")</f>
        <v>0.33695652173913043</v>
      </c>
      <c r="E13" s="861">
        <f>IF(ISNUMBER((NºAsuntos!C13+NºAsuntos!E13)/NºAsuntos!G13),(NºAsuntos!C13+NºAsuntos!E13)/NºAsuntos!G13," - ")</f>
        <v>6.4021739130434785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1.0737704918032787</v>
      </c>
      <c r="C16" s="443">
        <f>IF(ISNUMBER(NºAsuntos!I16/NºAsuntos!G16),NºAsuntos!I16/NºAsuntos!G16," - ")</f>
        <v>2.114503816793893</v>
      </c>
      <c r="D16" s="444">
        <f>IF(ISNUMBER('Resol  Asuntos'!D16/NºAsuntos!G16),'Resol  Asuntos'!D16/NºAsuntos!G16," - ")</f>
        <v>0.31297709923664124</v>
      </c>
      <c r="E16" s="445">
        <f>IF(ISNUMBER((NºAsuntos!C16+NºAsuntos!E16)/NºAsuntos!G16),(NºAsuntos!C16+NºAsuntos!E16)/NºAsuntos!G16," - ")</f>
        <v>3.1068702290076335</v>
      </c>
      <c r="G16" s="463"/>
    </row>
    <row r="17" spans="1:7" ht="13.5" thickBot="1">
      <c r="A17" s="402" t="str">
        <f>Datos!A17</f>
        <v>Jdos. Violencia contra la mujer</v>
      </c>
      <c r="B17" s="442">
        <f>IF(ISNUMBER(NºAsuntos!G17/NºAsuntos!E17),NºAsuntos!G17/NºAsuntos!E17," - ")</f>
        <v>0.25</v>
      </c>
      <c r="C17" s="443">
        <f>IF(ISNUMBER(NºAsuntos!I17/NºAsuntos!G17),NºAsuntos!I17/NºAsuntos!G17," - ")</f>
        <v>7</v>
      </c>
      <c r="D17" s="444">
        <f>IF(ISNUMBER('Resol  Asuntos'!D17/NºAsuntos!G17),'Resol  Asuntos'!D17/NºAsuntos!G17," - ")</f>
        <v>0</v>
      </c>
      <c r="E17" s="445">
        <f>IF(ISNUMBER((NºAsuntos!C17+NºAsuntos!E17)/NºAsuntos!G17),(NºAsuntos!C17+NºAsuntos!E17)/NºAsuntos!G17," - ")</f>
        <v>8</v>
      </c>
      <c r="G17" s="463"/>
    </row>
    <row r="18" spans="1:7" ht="14.25" thickTop="1" thickBot="1">
      <c r="A18" s="848" t="str">
        <f>Datos!A18</f>
        <v>TOTAL</v>
      </c>
      <c r="B18" s="858">
        <f>IF(ISNUMBER(NºAsuntos!G18/NºAsuntos!E18),NºAsuntos!G18/NºAsuntos!E18," - ")</f>
        <v>1.023076923076923</v>
      </c>
      <c r="C18" s="859">
        <f>IF(ISNUMBER(NºAsuntos!I18/NºAsuntos!G18),NºAsuntos!I18/NºAsuntos!G18," - ")</f>
        <v>2.1879699248120299</v>
      </c>
      <c r="D18" s="862">
        <f>IF(ISNUMBER('Resol  Asuntos'!D18/NºAsuntos!G18),'Resol  Asuntos'!D18/NºAsuntos!G18," - ")</f>
        <v>0.30827067669172931</v>
      </c>
      <c r="E18" s="861">
        <f>IF(ISNUMBER((NºAsuntos!C18+NºAsuntos!E18)/NºAsuntos!G18),(NºAsuntos!C18+NºAsuntos!E18)/NºAsuntos!G18," - ")</f>
        <v>3.1804511278195489</v>
      </c>
      <c r="G18" s="463"/>
    </row>
    <row r="19" spans="1:7" ht="15.75" customHeight="1" thickTop="1" thickBot="1">
      <c r="A19" s="793" t="str">
        <f>Datos!A19</f>
        <v>TOTAL JURISDICCIONES</v>
      </c>
      <c r="B19" s="808">
        <f>IF(ISNUMBER(NºAsuntos!G19/NºAsuntos!E19),NºAsuntos!G19/NºAsuntos!E19," - ")</f>
        <v>1.0817307692307692</v>
      </c>
      <c r="C19" s="809">
        <f>IF(ISNUMBER(NºAsuntos!I19/NºAsuntos!G19),NºAsuntos!I19/NºAsuntos!G19," - ")</f>
        <v>3.5111111111111111</v>
      </c>
      <c r="D19" s="810">
        <f>IF(ISNUMBER('Resol  Asuntos'!D19/NºAsuntos!G19),'Resol  Asuntos'!D19/NºAsuntos!G19," - ")</f>
        <v>0.32</v>
      </c>
      <c r="E19" s="811">
        <f>IF(ISNUMBER((NºAsuntos!C19+NºAsuntos!E19)/NºAsuntos!G19),(NºAsuntos!C19+NºAsuntos!E19)/NºAsuntos!G19," - ")</f>
        <v>4.4977777777777774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gkHekQbGIc4wteByaQon96lJGN1ArSXX+FYbwJC8kIC343VIDCafUTu6ClwZDq1XFaPAL7FY8a82uCukzyj/w==" saltValue="26nyAPgSLpPGQ5jmnfzo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 RIOSECO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1.1948051948051948</v>
      </c>
      <c r="AM12" s="260">
        <f>IF(ISNUMBER(((NºAsuntos!I12/NºAsuntos!G12)*11)/factor_trimestre),((NºAsuntos!I12/NºAsuntos!G12)*11)/factor_trimestre," - ")</f>
        <v>16.239130434782609</v>
      </c>
      <c r="AN12" s="244">
        <f>IF(ISNUMBER('Resol  Asuntos'!D12/NºAsuntos!G12),'Resol  Asuntos'!D12/NºAsuntos!G12," - ")</f>
        <v>0.33695652173913043</v>
      </c>
      <c r="AO12" s="245">
        <f>IF(ISNUMBER((NºAsuntos!C12+NºAsuntos!E12)/NºAsuntos!G12),(NºAsuntos!C12+NºAsuntos!E12)/NºAsuntos!G12," - ")</f>
        <v>6.3913043478260869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1</v>
      </c>
      <c r="AB13" s="868">
        <f t="shared" si="4"/>
        <v>686</v>
      </c>
      <c r="AC13" s="868">
        <f t="shared" si="4"/>
        <v>1</v>
      </c>
      <c r="AD13" s="868">
        <f t="shared" si="4"/>
        <v>0</v>
      </c>
      <c r="AE13" s="872">
        <f t="shared" si="4"/>
        <v>0</v>
      </c>
      <c r="AF13" s="865">
        <f t="shared" si="4"/>
        <v>0</v>
      </c>
      <c r="AG13" s="873">
        <f t="shared" si="4"/>
        <v>0</v>
      </c>
      <c r="AH13" s="870">
        <f t="shared" si="4"/>
        <v>0</v>
      </c>
      <c r="AI13" s="865">
        <f t="shared" si="4"/>
        <v>31</v>
      </c>
      <c r="AJ13" s="867">
        <f t="shared" si="4"/>
        <v>0</v>
      </c>
      <c r="AK13" s="870">
        <f>SUBTOTAL(9,AK9:AK12)</f>
        <v>0</v>
      </c>
      <c r="AL13" s="874">
        <f>IF(ISNUMBER(NºAsuntos!G13/NºAsuntos!E13),NºAsuntos!G13/NºAsuntos!E13," - ")</f>
        <v>1.1794871794871795</v>
      </c>
      <c r="AM13" s="874">
        <f>IF(ISNUMBER(((NºAsuntos!I13/NºAsuntos!G13)*11)/factor_trimestre),((NºAsuntos!I13/NºAsuntos!G13)*11)/factor_trimestre," - ")</f>
        <v>16.271739130434781</v>
      </c>
      <c r="AN13" s="875">
        <f>IF(ISNUMBER('Resol  Asuntos'!D13/NºAsuntos!G13),'Resol  Asuntos'!D13/NºAsuntos!G13," - ")</f>
        <v>0.33695652173913043</v>
      </c>
      <c r="AO13" s="876">
        <f>IF(ISNUMBER((NºAsuntos!C13+NºAsuntos!E13)/NºAsuntos!G13),(NºAsuntos!C13+NºAsuntos!E13)/NºAsuntos!G13," - ")</f>
        <v>6.4021739130434785</v>
      </c>
      <c r="AP13" s="877" t="str">
        <f t="shared" si="2"/>
        <v xml:space="preserve"> - </v>
      </c>
      <c r="AQ13" s="877" t="str">
        <f>IF(ISNUMBER((H13-W13+K13)/(F13)),(H13-W13+K13)/(F13)," - ")</f>
        <v xml:space="preserve"> - </v>
      </c>
      <c r="AR13" s="878">
        <f>IF(ISNUMBER((Datos!P13-Datos!Q13)/(Datos!R13-Datos!P13+Datos!Q13)),(Datos!P13-Datos!Q13)/(Datos!R13-Datos!P13+Datos!Q13)," - ")</f>
        <v>8.8235294117647058E-3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286</v>
      </c>
      <c r="G16" s="333">
        <f>IF(ISNUMBER(IF(D_I="SI",Datos!I16,Datos!I16+Datos!AC16)),IF(D_I="SI",Datos!I16,Datos!I16+Datos!AC16)," - ")</f>
        <v>285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131</v>
      </c>
      <c r="X16" s="226">
        <f>IF(ISNUMBER(Datos!Q16),Datos!Q16," - ")</f>
        <v>3</v>
      </c>
      <c r="Y16" s="334">
        <f t="shared" ref="Y16:Y17" si="7">SUM(W16:X16)</f>
        <v>134</v>
      </c>
      <c r="Z16" s="335" t="str">
        <f>IF(ISNUMBER(Datos!CC16),Datos!CC16," - ")</f>
        <v xml:space="preserve"> - </v>
      </c>
      <c r="AA16" s="332">
        <f>IF(ISNUMBER(IF(D_I="SI",Datos!L16,Datos!L16+Datos!AF16)),IF(D_I="SI",Datos!L16,Datos!L16+Datos!AF16)," - ")</f>
        <v>277</v>
      </c>
      <c r="AB16" s="334">
        <f>IF(ISNUMBER(Datos!R16),Datos!R16," - ")</f>
        <v>57</v>
      </c>
      <c r="AC16" s="334">
        <f t="shared" si="6"/>
        <v>334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1.0737704918032787</v>
      </c>
      <c r="AM16" s="260">
        <f>IF(ISNUMBER(((NºAsuntos!I16/NºAsuntos!G16)*11)/factor_trimestre),((NºAsuntos!I16/NºAsuntos!G16)*11)/factor_trimestre," - ")</f>
        <v>6.3435114503816799</v>
      </c>
      <c r="AN16" s="244">
        <f>IF(ISNUMBER('Resol  Asuntos'!D16/NºAsuntos!G16),'Resol  Asuntos'!D16/NºAsuntos!G16," - ")</f>
        <v>0.31297709923664124</v>
      </c>
      <c r="AO16" s="245">
        <f>IF(ISNUMBER((NºAsuntos!C16+NºAsuntos!E16)/NºAsuntos!G16),(NºAsuntos!C16+NºAsuntos!E16)/NºAsuntos!G16," - ")</f>
        <v>3.1068702290076335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0.25</v>
      </c>
      <c r="AM17" s="260">
        <f>IF(ISNUMBER(((NºAsuntos!I17/NºAsuntos!G17)*11)/factor_trimestre),((NºAsuntos!I17/NºAsuntos!G17)*11)/factor_trimestre," - ")</f>
        <v>21</v>
      </c>
      <c r="AN17" s="244">
        <f>IF(ISNUMBER('Resol  Asuntos'!D17/NºAsuntos!G17),'Resol  Asuntos'!D17/NºAsuntos!G17," - ")</f>
        <v>0</v>
      </c>
      <c r="AO17" s="245">
        <f>IF(ISNUMBER((NºAsuntos!C17+NºAsuntos!E17)/NºAsuntos!G17),(NºAsuntos!C17+NºAsuntos!E17)/NºAsuntos!G17," - ")</f>
        <v>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286</v>
      </c>
      <c r="G18" s="866">
        <f>SUBTOTAL(9,G15:G17)</f>
        <v>293</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133</v>
      </c>
      <c r="X18" s="867">
        <f t="shared" si="11"/>
        <v>3</v>
      </c>
      <c r="Y18" s="868">
        <f t="shared" si="11"/>
        <v>136</v>
      </c>
      <c r="Z18" s="868">
        <f t="shared" si="11"/>
        <v>0</v>
      </c>
      <c r="AA18" s="868">
        <f t="shared" si="11"/>
        <v>291</v>
      </c>
      <c r="AB18" s="868">
        <f t="shared" si="11"/>
        <v>57</v>
      </c>
      <c r="AC18" s="868">
        <f t="shared" si="11"/>
        <v>348</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1.023076923076923</v>
      </c>
      <c r="AM18" s="874">
        <f>IF(ISNUMBER(((NºAsuntos!I18/NºAsuntos!G18)*11)/factor_trimestre),((NºAsuntos!I18/NºAsuntos!G18)*11)/factor_trimestre," - ")</f>
        <v>6.5639097744360901</v>
      </c>
      <c r="AN18" s="875">
        <f>IF(ISNUMBER('Resol  Asuntos'!D18/NºAsuntos!G18),'Resol  Asuntos'!D18/NºAsuntos!G18," - ")</f>
        <v>0.30827067669172931</v>
      </c>
      <c r="AO18" s="876">
        <f>IF(ISNUMBER((NºAsuntos!C18+NºAsuntos!E18)/NºAsuntos!G18),(NºAsuntos!C18+NºAsuntos!E18)/NºAsuntos!G18," - ")</f>
        <v>3.1804511278195489</v>
      </c>
      <c r="AP18" s="877" t="str">
        <f t="shared" si="2"/>
        <v xml:space="preserve"> - </v>
      </c>
      <c r="AQ18" s="877">
        <f>IF(ISNUMBER((H18-W18+K18)/(F18)),(H18-W18+K18)/(F18)," - ")</f>
        <v>-0.46503496503496505</v>
      </c>
      <c r="AR18" s="878">
        <f>IF(ISNUMBER((Datos!P18-Datos!Q18)/(Datos!R18-Datos!P18+Datos!Q18)),(Datos!P18-Datos!Q18)/(Datos!R18-Datos!P18+Datos!Q18)," - ")</f>
        <v>7.5471698113207544E-2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286</v>
      </c>
      <c r="G19" s="821">
        <f t="shared" si="13"/>
        <v>293</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v>
      </c>
      <c r="X19" s="821">
        <f t="shared" si="14"/>
        <v>13</v>
      </c>
      <c r="Y19" s="828">
        <f t="shared" si="14"/>
        <v>146</v>
      </c>
      <c r="Z19" s="828">
        <f t="shared" si="14"/>
        <v>0</v>
      </c>
      <c r="AA19" s="828">
        <f t="shared" si="14"/>
        <v>292</v>
      </c>
      <c r="AB19" s="828">
        <f t="shared" si="14"/>
        <v>743</v>
      </c>
      <c r="AC19" s="828">
        <f t="shared" si="14"/>
        <v>349</v>
      </c>
      <c r="AD19" s="828">
        <f t="shared" si="14"/>
        <v>0</v>
      </c>
      <c r="AE19" s="830">
        <f t="shared" si="14"/>
        <v>0</v>
      </c>
      <c r="AF19" s="831">
        <f t="shared" si="14"/>
        <v>0</v>
      </c>
      <c r="AG19" s="832">
        <f t="shared" si="14"/>
        <v>0</v>
      </c>
      <c r="AH19" s="830">
        <f t="shared" si="14"/>
        <v>0</v>
      </c>
      <c r="AI19" s="820">
        <f t="shared" si="14"/>
        <v>72</v>
      </c>
      <c r="AJ19" s="820">
        <f t="shared" si="14"/>
        <v>0</v>
      </c>
      <c r="AK19" s="830">
        <f t="shared" si="14"/>
        <v>0</v>
      </c>
      <c r="AL19" s="884">
        <f>IF(ISNUMBER(NºAsuntos!G19/NºAsuntos!E19),NºAsuntos!G19/NºAsuntos!E19," - ")</f>
        <v>1.0817307692307692</v>
      </c>
      <c r="AM19" s="885">
        <f>IF(ISNUMBER(((NºAsuntos!I19/NºAsuntos!G19)*11)/factor_trimestre),((NºAsuntos!I19/NºAsuntos!G19)*11)/factor_trimestre," - ")</f>
        <v>10.533333333333333</v>
      </c>
      <c r="AN19" s="885">
        <f>IF(ISNUMBER('Resol  Asuntos'!D19/NºAsuntos!G19),'Resol  Asuntos'!D19/NºAsuntos!G19," - ")</f>
        <v>0.32</v>
      </c>
      <c r="AO19" s="886">
        <f>IF(ISNUMBER((NºAsuntos!C19+NºAsuntos!E19)/NºAsuntos!G19),(NºAsuntos!C19+NºAsuntos!E19)/NºAsuntos!G19," - ")</f>
        <v>4.4977777777777774</v>
      </c>
      <c r="AP19" s="887" t="str">
        <f t="shared" si="2"/>
        <v xml:space="preserve"> - </v>
      </c>
      <c r="AQ19" s="888">
        <f>IF(OR(ISNUMBER(FIND("01",Criterios!A8,1)),ISNUMBER(FIND("02",Criterios!A8,1)),ISNUMBER(FIND("03",Criterios!A8,1)),ISNUMBER(FIND("04",Criterios!A8,1))),(I19-W19+K19)/(F19-K19),(H19-W19+K19)/(F19-K19))</f>
        <v>-0.46503496503496505</v>
      </c>
      <c r="AR19" s="889">
        <f>IF(ISNUMBER((Datos!P19-Datos!Q19)/(Datos!R19-Datos!P19+Datos!Q19)),(Datos!P19-Datos!Q19)/(Datos!R19-Datos!P19+Datos!Q19)," - ")</f>
        <v>1.3642564802182811E-2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165.12217698823295</v>
      </c>
      <c r="G21" s="253">
        <f>IF(ISNUMBER(STDEV(G8:G18)),STDEV(G8:G18),"-")</f>
        <v>156.89072630337333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71.942338021501641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19.120669444347392</v>
      </c>
      <c r="AJ21" s="252">
        <f t="shared" si="18"/>
        <v>0</v>
      </c>
      <c r="AK21" s="254">
        <f t="shared" si="18"/>
        <v>0</v>
      </c>
      <c r="AL21" s="249">
        <f t="shared" si="18"/>
        <v>0.52269661721181138</v>
      </c>
      <c r="AM21" s="250">
        <f t="shared" si="18"/>
        <v>6.5292807865976465</v>
      </c>
      <c r="AN21" s="250">
        <f t="shared" si="18"/>
        <v>0.14541024741607264</v>
      </c>
      <c r="AO21" s="251">
        <f t="shared" si="18"/>
        <v>2.1754638866784717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G+xdVoeXLXEbZX5h+BkCG6bDrexqfK+9ucVPwnz8EtBAjThc/D4qH9rZXcYcK5ASwjh2XIPl91/a2WDvU+Y1w==" saltValue="Hg3+J3Qnuv9g1L9hUMLJ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 RIOSECO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0.47619047619047616</v>
      </c>
      <c r="I12" s="350">
        <f>IF(ISNUMBER((Tasas!C12-Datos!BE12)/Datos!BE12),(Tasas!C12-Datos!BE12)/Datos!BE12," - ")</f>
        <v>5.8073654390934849E-2</v>
      </c>
      <c r="J12" s="349">
        <f>IF(ISNUMBER((Tasas!D12-Datos!BF12)/Datos!BF12),(Tasas!D12-Datos!BF12)/Datos!BF12," - ")</f>
        <v>-3.1249999999999979E-2</v>
      </c>
      <c r="K12" s="351">
        <f>IF(ISNUMBER((Tasas!E12-Datos!BG12)/Datos!BG12),(Tasas!E12-Datos!BG12)/Datos!BG12," - ")</f>
        <v>4.502369668246451E-2</v>
      </c>
      <c r="M12" t="e">
        <f>IF(Monitorios="SI",Datos!CE12,0)</f>
        <v>#REF!</v>
      </c>
      <c r="N12" t="e">
        <f>IF(Monitorios="SI",Datos!CF12,0)</f>
        <v>#REF!</v>
      </c>
      <c r="O12" t="e">
        <f>IF(Monitorios="SI",Datos!CG12,0)</f>
        <v>#REF!</v>
      </c>
      <c r="P12" t="e">
        <f>IF(Monitorios="SI",Datos!CH12,0)</f>
        <v>#REF!</v>
      </c>
      <c r="Q12">
        <f>IF(J_V="SI",0,Datos!AG12)</f>
        <v>6</v>
      </c>
      <c r="R12">
        <f>IF(J_V="SI",0,Datos!AH12)</f>
        <v>1</v>
      </c>
      <c r="S12">
        <f>IF(J_V="SI",0,Datos!AI12)</f>
        <v>0</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0.47619047619047616</v>
      </c>
      <c r="I13" s="357">
        <f>IF(ISNUMBER((Tasas!C13-Datos!BE13)/Datos!BE13),(Tasas!C13-Datos!BE13)/Datos!BE13," - ")</f>
        <v>6.0198300283286175E-2</v>
      </c>
      <c r="J13" s="355">
        <f>IF(ISNUMBER((Tasas!D13-Datos!BF13)/Datos!BF13),(Tasas!D13-Datos!BF13)/Datos!BF13," - ")</f>
        <v>-3.1249999999999979E-2</v>
      </c>
      <c r="K13" s="358">
        <f>IF(ISNUMBER((Tasas!E13-Datos!BG13)/Datos!BG13),(Tasas!E13-Datos!BG13)/Datos!BG13," - ")</f>
        <v>4.680094786729868E-2</v>
      </c>
      <c r="M13" t="e">
        <f>IF(Monitorios="SI",Datos!CE13,0)</f>
        <v>#REF!</v>
      </c>
      <c r="N13" t="e">
        <f>IF(Monitorios="SI",Datos!CF13,0)</f>
        <v>#REF!</v>
      </c>
      <c r="O13" t="e">
        <f>IF(Monitorios="SI",Datos!CG13,0)</f>
        <v>#REF!</v>
      </c>
      <c r="P13" t="e">
        <f>IF(Monitorios="SI",Datos!CH13,0)</f>
        <v>#REF!</v>
      </c>
      <c r="Q13">
        <f>IF(J_V="SI",0,Datos!AG13)</f>
        <v>6</v>
      </c>
      <c r="R13">
        <f>IF(J_V="SI",0,Datos!AH13)</f>
        <v>1</v>
      </c>
      <c r="S13">
        <f>IF(J_V="SI",0,Datos!AI13)</f>
        <v>0</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0.43216080402010049</v>
      </c>
      <c r="E16" s="348">
        <f>IF(ISNUMBER(
   IF(D_I="SI",(Datos!J16-Datos!T16)/Datos!T16,(Datos!J16+Datos!AD16-(Datos!T16+Datos!AL16))/(Datos!T16+Datos!AL16))
     ),IF(D_I="SI",(Datos!J16-Datos!T16)/Datos!T16,(Datos!J16+Datos!AD16-(Datos!T16+Datos!AL16))/(Datos!T16+Datos!AL16))," - ")</f>
        <v>-7.575757575757576E-2</v>
      </c>
      <c r="F16" s="348">
        <f>IF(ISNUMBER(
   IF(D_I="SI",(Datos!K16-Datos!U16)/Datos!U16,(Datos!K16+Datos!AE16-(Datos!U16+Datos!AM16))/(Datos!U16+Datos!AM16))
     ),IF(D_I="SI",(Datos!K16-Datos!U16)/Datos!U16,(Datos!K16+Datos!AE16-(Datos!U16+Datos!AM16))/(Datos!U16+Datos!AM16))," - ")</f>
        <v>0.81944444444444442</v>
      </c>
      <c r="G16" s="349">
        <f>IF(ISNUMBER(
   IF(D_I="SI",(Datos!L16-Datos!V16)/Datos!V16,(Datos!L16+Datos!AF16-(Datos!V16+Datos!AN16))/(Datos!V16+Datos!AN16))
     ),IF(D_I="SI",(Datos!L16-Datos!V16)/Datos!V16,(Datos!L16+Datos!AF16-(Datos!V16+Datos!AN16))/(Datos!V16+Datos!AN16))," - ")</f>
        <v>6.9498069498069498E-2</v>
      </c>
      <c r="H16" s="230">
        <f>IF(ISNUMBER((Datos!M16-Datos!W16)/Datos!W16),(Datos!M16-Datos!W16)/Datos!W16," - ")</f>
        <v>5.833333333333333</v>
      </c>
      <c r="I16" s="350">
        <f>IF(ISNUMBER((Tasas!C16-Datos!BE16)/Datos!BE16),(Tasas!C16-Datos!BE16)/Datos!BE16," - ")</f>
        <v>-0.41218426714609924</v>
      </c>
      <c r="J16" s="349">
        <f>IF(ISNUMBER((Tasas!D16-Datos!BF16)/Datos!BF16),(Tasas!D16-Datos!BF16)/Datos!BF16," - ")</f>
        <v>2.7557251908396951</v>
      </c>
      <c r="K16" s="351">
        <f>IF(ISNUMBER((Tasas!E16-Datos!BG16)/Datos!BG16),(Tasas!E16-Datos!BG16)/Datos!BG16," - ")</f>
        <v>-0.32418532782915527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v>
      </c>
      <c r="E17" s="348">
        <f>IF(ISNUMBER(
   IF(D_I="SI",(Datos!J17-Datos!T17)/Datos!T17,(Datos!J17+Datos!AD17-(Datos!T17+Datos!AL17))/(Datos!T17+Datos!AL17))
     ),IF(D_I="SI",(Datos!J17-Datos!T17)/Datos!T17,(Datos!J17+Datos!AD17-(Datos!T17+Datos!AL17))/(Datos!T17+Datos!AL17))," - ")</f>
        <v>1.6666666666666667</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13</v>
      </c>
      <c r="H17" s="230" t="str">
        <f>IF(ISNUMBER((Datos!M17-Datos!W17)/Datos!W17),(Datos!M17-Datos!W17)/Datos!W17," - ")</f>
        <v xml:space="preserve"> - </v>
      </c>
      <c r="I17" s="350">
        <f>IF(ISNUMBER((Tasas!C17-Datos!BE17)/Datos!BE17),(Tasas!C17-Datos!BE17)/Datos!BE17," - ")</f>
        <v>20.000000000000004</v>
      </c>
      <c r="J17" s="349" t="str">
        <f>IF(ISNUMBER((Tasas!D17-Datos!BF17)/Datos!BF17),(Tasas!D17-Datos!BF17)/Datos!BF17," - ")</f>
        <v xml:space="preserve"> - </v>
      </c>
      <c r="K17" s="351">
        <f>IF(ISNUMBER((Tasas!E17-Datos!BG17)/Datos!BG17),(Tasas!E17-Datos!BG17)/Datos!BG17," - ")</f>
        <v>5.0000000000000009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0.46500000000000002</v>
      </c>
      <c r="E18" s="354">
        <f>IF(ISNUMBER(
   IF(D_I="SI",(Datos!J18-Datos!T18)/Datos!T18,(Datos!J18+Datos!AD18-(Datos!T18+Datos!AL18))/(Datos!T18+Datos!AL18))
     ),IF(D_I="SI",(Datos!J18-Datos!T18)/Datos!T18,(Datos!J18+Datos!AD18-(Datos!T18+Datos!AL18))/(Datos!T18+Datos!AL18))," - ")</f>
        <v>-3.7037037037037035E-2</v>
      </c>
      <c r="F18" s="354">
        <f>IF(ISNUMBER(
   IF(D_I="SI",(Datos!K18-Datos!U18)/Datos!U18,(Datos!K18+Datos!AE18-(Datos!U18+Datos!AM18))/(Datos!U18+Datos!AM18))
     ),IF(D_I="SI",(Datos!K18-Datos!U18)/Datos!U18,(Datos!K18+Datos!AE18-(Datos!U18+Datos!AM18))/(Datos!U18+Datos!AM18))," - ")</f>
        <v>0.77333333333333332</v>
      </c>
      <c r="G18" s="355">
        <f>IF(ISNUMBER(
   IF(D_I="SI",(Datos!L18-Datos!V18)/Datos!V18,(Datos!L18+Datos!AF18-(Datos!V18+Datos!AN18))/(Datos!V18+Datos!AN18))
     ),IF(D_I="SI",(Datos!L18-Datos!V18)/Datos!V18,(Datos!L18+Datos!AF18-(Datos!V18+Datos!AN18))/(Datos!V18+Datos!AN18))," - ")</f>
        <v>0.11923076923076924</v>
      </c>
      <c r="H18" s="356">
        <f>IF(ISNUMBER((Datos!M18-Datos!W18)/Datos!W18),(Datos!M18-Datos!W18)/Datos!W18," - ")</f>
        <v>5.833333333333333</v>
      </c>
      <c r="I18" s="357">
        <f>IF(ISNUMBER((Tasas!C18-Datos!BE18)/Datos!BE18),(Tasas!C18-Datos!BE18)/Datos!BE18," - ")</f>
        <v>-0.36885482938114522</v>
      </c>
      <c r="J18" s="355">
        <f>IF(ISNUMBER((Tasas!D18-Datos!BF18)/Datos!BF18),(Tasas!D18-Datos!BF18)/Datos!BF18," - ")</f>
        <v>2.8533834586466162</v>
      </c>
      <c r="K18" s="358">
        <f>IF(ISNUMBER((Tasas!E18-Datos!BG18)/Datos!BG18),(Tasas!E18-Datos!BG18)/Datos!BG18," - ")</f>
        <v>-0.28795870272696666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0.6112224448897795</v>
      </c>
      <c r="E19" s="363">
        <f>IF(ISNUMBER(
   IF(J_V="SI",(Datos!J19-Datos!T19)/Datos!T19,(Datos!J19+Datos!Z19-(Datos!T19+Datos!AH19))/(Datos!T19+Datos!AH19))
     ),IF(J_V="SI",(Datos!J19-Datos!T19)/Datos!T19,(Datos!J19+Datos!Z19-(Datos!T19+Datos!AH19))/(Datos!T19+Datos!AH19))," - ")</f>
        <v>-0.19379844961240311</v>
      </c>
      <c r="F19" s="363">
        <f>IF(ISNUMBER(
   IF(J_V="SI",(Datos!K19-Datos!U19)/Datos!U19,(Datos!K19+Datos!AA19-(Datos!U19+Datos!AI19))/(Datos!U19+Datos!AI19))
     ),IF(J_V="SI",(Datos!K19-Datos!U19)/Datos!U19,(Datos!K19+Datos!AA19-(Datos!U19+Datos!AI19))/(Datos!U19+Datos!AI19))," - ")</f>
        <v>0.5625</v>
      </c>
      <c r="G19" s="364">
        <f>IF(ISNUMBER(
   IF(J_V="SI",(Datos!L19-Datos!V19)/Datos!V19,(Datos!L19+Datos!AB19-(Datos!V19+Datos!AJ19))/(Datos!V19+Datos!AJ19))
     ),IF(J_V="SI",(Datos!L19-Datos!V19)/Datos!V19,(Datos!L19+Datos!AB19-(Datos!V19+Datos!AJ19))/(Datos!V19+Datos!AJ19))," - ")</f>
        <v>0.28874388254486133</v>
      </c>
      <c r="H19" s="365">
        <f>IF(ISNUMBER((Datos!M19-Datos!W19)/Datos!W19),(Datos!M19-Datos!W19)/Datos!W19," - ")</f>
        <v>1.6666666666666667</v>
      </c>
      <c r="I19" s="362">
        <f>IF(ISNUMBER((Tasas!C19-Datos!BE19)/Datos!BE19),(Tasas!C19-Datos!BE19)/Datos!BE19," - ")</f>
        <v>-0.1752039151712888</v>
      </c>
      <c r="J19" s="363">
        <f>IF(ISNUMBER((Tasas!D19-Datos!BF19)/Datos!BF19),(Tasas!D19-Datos!BF19)/Datos!BF19," - ")</f>
        <v>0.53599999999999992</v>
      </c>
      <c r="K19" s="364">
        <f>IF(ISNUMBER((Tasas!E19-Datos!BG19)/Datos!BG19),(Tasas!E19-Datos!BG19)/Datos!BG19," - ")</f>
        <v>-0.14441215323645981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3.782499506874665</v>
      </c>
      <c r="E21" s="278">
        <f t="shared" si="1"/>
        <v>0.99499981831826001</v>
      </c>
      <c r="F21" s="278">
        <f t="shared" si="1"/>
        <v>0.65265278551172523</v>
      </c>
      <c r="G21" s="279">
        <f t="shared" si="1"/>
        <v>7.4511136694732665</v>
      </c>
      <c r="H21" s="285">
        <f t="shared" si="1"/>
        <v>3.0929478706587092</v>
      </c>
      <c r="I21" s="277">
        <f t="shared" si="1"/>
        <v>9.0211866073412459</v>
      </c>
      <c r="J21" s="278">
        <f t="shared" si="1"/>
        <v>1.6377377422191777</v>
      </c>
      <c r="K21" s="279">
        <f t="shared" si="1"/>
        <v>2.3010174989861572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4FrmbX+CYU1/EjRE+bFb9XpXEhEJoXaoFirZWBmylc+6Asq3JiHssSFgeFkAqT8ozVCDLTkZCpXSGZDn1JPGw==" saltValue="z5uyImgU1rUkoPsfdoeL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